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0543655d8854f67" /></Relationships>
</file>

<file path=xl/workbook.xml><?xml version="1.0" encoding="utf-8"?>
<x:workbook xmlns:x="http://schemas.openxmlformats.org/spreadsheetml/2006/main">
  <x:sheets>
    <x:sheet xmlns:r="http://schemas.openxmlformats.org/officeDocument/2006/relationships" name="Desembolsos" sheetId="1" r:id="R2dbab75dd5d54737"/>
    <x:sheet xmlns:r="http://schemas.openxmlformats.org/officeDocument/2006/relationships" name="Resumo" sheetId="2" r:id="R4c9146a79fb54bbf"/>
    <x:sheet xmlns:r="http://schemas.openxmlformats.org/officeDocument/2006/relationships" name="Premissas" sheetId="3" r:id="Rc6865db871fd4a31"/>
    <x:sheet xmlns:r="http://schemas.openxmlformats.org/officeDocument/2006/relationships" name="Orcamento" sheetId="4" r:id="R27b12111ffa94104"/>
    <x:sheet xmlns:r="http://schemas.openxmlformats.org/officeDocument/2006/relationships" name="Fluxo mensal" sheetId="5" r:id="Rdf70c187c485462b"/>
    <x:sheet xmlns:r="http://schemas.openxmlformats.org/officeDocument/2006/relationships" name="Mercado" sheetId="6" r:id="R21da28b65e53417f"/>
    <x:sheet xmlns:r="http://schemas.openxmlformats.org/officeDocument/2006/relationships" name="Precos das fontes" sheetId="7" r:id="R97341b382fc84361"/>
    <x:sheet xmlns:r="http://schemas.openxmlformats.org/officeDocument/2006/relationships" name="Fontes" sheetId="8" r:id="Re8524b2133d94377"/>
    <x:sheet xmlns:r="http://schemas.openxmlformats.org/officeDocument/2006/relationships" name="Base recebida" sheetId="9" r:id="R94643c73f2e34fcd"/>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quot;-&quot;"/>
    <x:numFmt numFmtId="201" formatCode="0.0%"/>
    <x:numFmt numFmtId="202" formatCode="#,##0.00"/>
    <x:numFmt numFmtId="203" formatCode="0.00"/>
    <x:numFmt numFmtId="204" formatCode="0"/>
  </x:numFmts>
  <x:fonts count="7">
    <x:font>
      <x:sz val="11"/>
      <x:name val="Carlito"/>
    </x:font>
    <x:font>
      <x:sz val="10"/>
      <x:color rgb="FF172D37"/>
      <x:name val="Arial"/>
    </x:font>
    <x:font>
      <x:b/>
      <x:sz val="15"/>
      <x:color rgb="FF172D37"/>
      <x:name val="Arial"/>
    </x:font>
    <x:font>
      <x:sz val="10"/>
      <x:color rgb="FF56676C"/>
      <x:name val="Arial"/>
    </x:font>
    <x:font>
      <x:b/>
      <x:sz val="10"/>
      <x:color rgb="FFFFFFFF"/>
      <x:name val="Arial"/>
    </x:font>
    <x:font>
      <x:sz val="10"/>
      <x:color rgb="FF0000FF"/>
      <x:name val="Arial"/>
    </x:font>
    <x:font>
      <x:b/>
      <x:sz val="10"/>
      <x:color rgb="FF172D37"/>
      <x:name val="Arial"/>
    </x:font>
  </x:fonts>
  <x:fills count="4">
    <x:fill>
      <x:patternFill patternType="none"/>
    </x:fill>
    <x:fill>
      <x:patternFill patternType="gray125"/>
    </x:fill>
    <x:fill>
      <x:patternFill patternType="solid">
        <x:fgColor rgb="FF173D47"/>
      </x:patternFill>
    </x:fill>
    <x:fill>
      <x:patternFill patternType="solid">
        <x:fgColor rgb="FFD9E9E2"/>
      </x:patternFill>
    </x:fill>
  </x:fills>
  <x:borders count="1">
    <x:border>
      <x:left/>
      <x:right/>
      <x:top/>
      <x:bottom/>
      <x:diagonal/>
    </x:border>
  </x:borders>
  <x:cellStyleXfs count="1">
    <x:xf numFmtId="0" fontId="0" fillId="0" borderId="0"/>
  </x:cellStyleXfs>
  <x:cellXfs count="43">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5" fillId="0" borderId="0" xfId="0" applyNumberFormat="1" applyFont="1" applyFill="1" applyBorder="1"/>
    <x:xf numFmtId="0" fontId="1" fillId="0" borderId="0" xfId="0" applyNumberFormat="1" applyFont="1" applyFill="1" applyBorder="1" applyAlignment="1">
      <x:alignment wrapText="1"/>
    </x:xf>
    <x:xf numFmtId="200" fontId="5" fillId="0" borderId="0" xfId="0" applyNumberFormat="1" applyFont="1" applyFill="1" applyBorder="1"/>
    <x:xf numFmtId="201" fontId="5" fillId="0" borderId="0" xfId="0" applyNumberFormat="1" applyFont="1" applyFill="1" applyBorder="1"/>
    <x:xf numFmtId="202" fontId="5" fillId="0" borderId="0" xfId="0" applyNumberFormat="1" applyFont="1" applyFill="1" applyBorder="1"/>
    <x:xf numFmtId="200" fontId="1" fillId="0" borderId="0" xfId="0" applyNumberFormat="1" applyFont="1" applyFill="1" applyBorder="1"/>
    <x:xf numFmtId="201" fontId="1" fillId="0" borderId="0" xfId="0" applyNumberFormat="1" applyFont="1" applyFill="1" applyBorder="1"/>
    <x:xf numFmtId="203" fontId="1" fillId="0" borderId="0" xfId="0" applyNumberFormat="1" applyFont="1" applyFill="1" applyBorder="1"/>
    <x:xf numFmtId="202" fontId="1" fillId="0" borderId="0" xfId="0" applyNumberFormat="1" applyFont="1" applyFill="1" applyBorder="1" applyAlignment="1">
      <x:alignment wrapText="1"/>
    </x:xf>
    <x:xf numFmtId="0" fontId="0" fillId="2" borderId="0" xfId="0" applyNumberFormat="1" applyFont="1" applyFill="1" applyBorder="1"/>
    <x:xf numFmtId="200" fontId="0" fillId="0" borderId="0" xfId="0" applyNumberFormat="1" applyFont="1" applyFill="1" applyBorder="1"/>
    <x:xf numFmtId="200" fontId="1" fillId="2" borderId="0" xfId="0" applyNumberFormat="1" applyFont="1" applyFill="1" applyBorder="1"/>
    <x:xf numFmtId="200" fontId="4" fillId="2" borderId="0" xfId="0" applyNumberFormat="1" applyFont="1" applyFill="1" applyBorder="1"/>
    <x:xf numFmtId="200" fontId="4" fillId="2" borderId="0" xfId="0" applyNumberFormat="1" applyFont="1" applyFill="1" applyBorder="1" applyAlignment="1">
      <x:alignment wrapText="1"/>
    </x:xf>
    <x:xf numFmtId="200" fontId="4" fillId="2" borderId="0" xfId="0" applyNumberFormat="1" applyFont="1" applyFill="1" applyBorder="1" applyAlignment="1">
      <x:alignment horizontal="center" wrapText="1"/>
    </x:xf>
    <x:xf numFmtId="200" fontId="4" fillId="2" borderId="0" xfId="0" applyNumberFormat="1" applyFont="1" applyFill="1" applyBorder="1" applyAlignment="1">
      <x:alignment horizontal="center" vertical="center" wrapText="1"/>
    </x:xf>
    <x:xf numFmtId="0" fontId="1" fillId="3" borderId="0" xfId="0" applyNumberFormat="1" applyFont="1" applyFill="1" applyBorder="1"/>
    <x:xf numFmtId="200" fontId="1" fillId="3" borderId="0" xfId="0" applyNumberFormat="1" applyFont="1" applyFill="1" applyBorder="1"/>
    <x:xf numFmtId="0" fontId="6" fillId="3" borderId="0" xfId="0" applyNumberFormat="1" applyFont="1" applyFill="1" applyBorder="1"/>
    <x:xf numFmtId="200" fontId="6" fillId="3" borderId="0" xfId="0" applyNumberFormat="1" applyFont="1" applyFill="1" applyBorder="1"/>
    <x:xf numFmtId="0" fontId="2" fillId="0" borderId="0" xfId="0" applyNumberFormat="1" applyFont="1" applyFill="1" applyBorder="1" applyAlignment="1">
      <x:alignment horizontal="left"/>
    </x:xf>
    <x:xf numFmtId="0" fontId="1" fillId="0" borderId="0" xfId="0" applyNumberFormat="1" applyFont="1" applyFill="1" applyBorder="1" applyAlignment="1">
      <x:alignment horizontal="left"/>
    </x:xf>
    <x:xf numFmtId="0" fontId="2" fillId="0" borderId="0" xfId="0" applyNumberFormat="1" applyFont="1" applyFill="1" applyBorder="1" applyAlignment="1">
      <x:alignment horizontal="left" vertical="center"/>
    </x:xf>
    <x:xf numFmtId="0" fontId="1" fillId="0" borderId="0" xfId="0" applyNumberFormat="1" applyFont="1" applyFill="1" applyBorder="1" applyAlignment="1">
      <x:alignment horizontal="left" vertical="center"/>
    </x:xf>
    <x:xf numFmtId="0" fontId="3" fillId="0" borderId="0" xfId="0" applyNumberFormat="1" applyFont="1" applyFill="1" applyBorder="1" applyAlignment="1">
      <x:alignment horizontal="left"/>
    </x:xf>
    <x:xf numFmtId="0" fontId="3" fillId="0" borderId="0" xfId="0" applyNumberFormat="1" applyFont="1" applyFill="1" applyBorder="1" applyAlignment="1">
      <x:alignment horizontal="left" vertical="center"/>
    </x:xf>
    <x:xf numFmtId="200" fontId="5" fillId="0" borderId="0" xfId="0" applyNumberFormat="1" applyFont="1" applyFill="1" applyBorder="1" applyAlignment="1">
      <x:alignment wrapText="1"/>
    </x:xf>
    <x:xf numFmtId="202" fontId="5" fillId="0" borderId="0" xfId="0" applyNumberFormat="1" applyFont="1" applyFill="1" applyBorder="1" applyAlignment="1">
      <x:alignment wrapText="1"/>
    </x:xf>
    <x:xf numFmtId="201" fontId="5" fillId="0" borderId="0" xfId="0" applyNumberFormat="1" applyFont="1" applyFill="1" applyBorder="1" applyAlignment="1">
      <x:alignment wrapText="1"/>
    </x:xf>
    <x:xf numFmtId="200" fontId="1" fillId="0" borderId="0" xfId="0" applyNumberFormat="1" applyFont="1" applyFill="1" applyBorder="1" applyAlignment="1">
      <x:alignment wrapText="1"/>
    </x:xf>
    <x:xf numFmtId="201" fontId="1" fillId="0" borderId="0" xfId="0" applyNumberFormat="1" applyFont="1" applyFill="1" applyBorder="1" applyAlignment="1">
      <x:alignment wrapText="1"/>
    </x:xf>
    <x:xf numFmtId="204" fontId="1" fillId="0" borderId="0" xfId="0" applyNumberFormat="1" applyFont="1" applyFill="1" applyBorder="1" applyAlignment="1">
      <x:alignment wrapText="1"/>
    </x:xf>
    <x:xf numFmtId="0" fontId="6" fillId="3" borderId="0" xfId="0" applyNumberFormat="1" applyFont="1" applyFill="1" applyBorder="1" applyAlignment="1">
      <x:alignment wrapText="1"/>
    </x:xf>
    <x:xf numFmtId="200" fontId="6" fillId="3" borderId="0" xfId="0" applyNumberFormat="1" applyFont="1" applyFill="1" applyBorder="1" applyAlignment="1">
      <x:alignment wrapText="1"/>
    </x:xf>
  </x:cellXfs>
  <x:cellStyles count="1">
    <x:cellStyle name="Normal" xfId="0"/>
  </x:cellStyles>
  <x:dxfs count="1">
    <x:dxf>
      <x:font>
        <x:color rgb="FFA12A25"/>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3dd5c52f1f1463b" /><Relationship Type="http://schemas.openxmlformats.org/officeDocument/2006/relationships/theme" Target="/xl/theme/theme1.xml" Id="R1112745be9b24c6b" /><Relationship Type="http://schemas.openxmlformats.org/officeDocument/2006/relationships/sharedStrings" Target="/xl/sharedStrings.xml" Id="Rb7c72a675d5e4b9a" /><Relationship Type="http://schemas.openxmlformats.org/officeDocument/2006/relationships/worksheet" Target="/xl/worksheets/sheet1.xml" Id="R2dbab75dd5d54737" /><Relationship Type="http://schemas.openxmlformats.org/officeDocument/2006/relationships/worksheet" Target="/xl/worksheets/sheet2.xml" Id="R4c9146a79fb54bbf" /><Relationship Type="http://schemas.openxmlformats.org/officeDocument/2006/relationships/worksheet" Target="/xl/worksheets/sheet3.xml" Id="Rc6865db871fd4a31" /><Relationship Type="http://schemas.openxmlformats.org/officeDocument/2006/relationships/worksheet" Target="/xl/worksheets/sheet4.xml" Id="R27b12111ffa94104" /><Relationship Type="http://schemas.openxmlformats.org/officeDocument/2006/relationships/worksheet" Target="/xl/worksheets/sheet5.xml" Id="Rdf70c187c485462b" /><Relationship Type="http://schemas.openxmlformats.org/officeDocument/2006/relationships/worksheet" Target="/xl/worksheets/sheet6.xml" Id="R21da28b65e53417f" /><Relationship Type="http://schemas.openxmlformats.org/officeDocument/2006/relationships/worksheet" Target="/xl/worksheets/sheet7.xml" Id="R97341b382fc84361" /><Relationship Type="http://schemas.openxmlformats.org/officeDocument/2006/relationships/worksheet" Target="/xl/worksheets/sheet8.xml" Id="Re8524b2133d94377" /><Relationship Type="http://schemas.openxmlformats.org/officeDocument/2006/relationships/worksheet" Target="/xl/worksheets/sheet9.xml" Id="R94643c73f2e34fcd" /></Relationships>
</file>

<file path=xl/drawings/_rels/drawing1.xml.rels>&#65279;<?xml version="1.0" encoding="utf-8"?><Relationships xmlns="http://schemas.openxmlformats.org/package/2006/relationships"><Relationship Type="http://schemas.openxmlformats.org/officeDocument/2006/relationships/image" Target="/xl/media/image.png" Id="R09ac5948baa346cf" /></Relationships>
</file>

<file path=xl/drawings/_rels/drawing2.xml.rels>&#65279;<?xml version="1.0" encoding="utf-8"?><Relationships xmlns="http://schemas.openxmlformats.org/package/2006/relationships"><Relationship Type="http://schemas.openxmlformats.org/officeDocument/2006/relationships/image" Target="/xl/media/image2.png" Id="R95849bd81c564ac9" /></Relationships>
</file>

<file path=xl/drawings/_rels/drawing3.xml.rels>&#65279;<?xml version="1.0" encoding="utf-8"?><Relationships xmlns="http://schemas.openxmlformats.org/package/2006/relationships"><Relationship Type="http://schemas.openxmlformats.org/officeDocument/2006/relationships/image" Target="/xl/media/image3.png" Id="R162184e1292149bd" /></Relationships>
</file>

<file path=xl/drawings/_rels/drawing4.xml.rels>&#65279;<?xml version="1.0" encoding="utf-8"?><Relationships xmlns="http://schemas.openxmlformats.org/package/2006/relationships"><Relationship Type="http://schemas.openxmlformats.org/officeDocument/2006/relationships/image" Target="/xl/media/image4.png" Id="R7faf46403ef94fff" /><Relationship Type="http://schemas.openxmlformats.org/officeDocument/2006/relationships/image" Target="/xl/media/image5.png" Id="Rb5a856e2687048fa" /></Relationships>
</file>

<file path=xl/drawings/_rels/drawing5.xml.rels>&#65279;<?xml version="1.0" encoding="utf-8"?><Relationships xmlns="http://schemas.openxmlformats.org/package/2006/relationships"><Relationship Type="http://schemas.openxmlformats.org/officeDocument/2006/relationships/image" Target="/xl/media/image6.png" Id="Rc5de4d77dfa64068" /><Relationship Type="http://schemas.openxmlformats.org/officeDocument/2006/relationships/image" Target="/xl/media/image7.png" Id="Rc3d505e57eb64505" /><Relationship Type="http://schemas.openxmlformats.org/officeDocument/2006/relationships/image" Target="/xl/media/image8.png" Id="R1fd38ebc62714183" /></Relationships>
</file>

<file path=xl/drawings/_rels/drawing6.xml.rels>&#65279;<?xml version="1.0" encoding="utf-8"?><Relationships xmlns="http://schemas.openxmlformats.org/package/2006/relationships"><Relationship Type="http://schemas.openxmlformats.org/officeDocument/2006/relationships/image" Target="/xl/media/image9.png" Id="Rd87eac8b6a0644d0" /></Relationships>
</file>

<file path=xl/drawings/_rels/drawing7.xml.rels>&#65279;<?xml version="1.0" encoding="utf-8"?><Relationships xmlns="http://schemas.openxmlformats.org/package/2006/relationships"><Relationship Type="http://schemas.openxmlformats.org/officeDocument/2006/relationships/image" Target="/xl/media/image10.png" Id="R1f2268e5f19c482f" /></Relationships>
</file>

<file path=xl/drawings/_rels/drawing8.xml.rels>&#65279;<?xml version="1.0" encoding="utf-8"?><Relationships xmlns="http://schemas.openxmlformats.org/package/2006/relationships"><Relationship Type="http://schemas.openxmlformats.org/officeDocument/2006/relationships/image" Target="/xl/media/image11.png" Id="Rc74aef86aa354534" /><Relationship Type="http://schemas.openxmlformats.org/officeDocument/2006/relationships/image" Target="/xl/media/image12.png" Id="Rec5be52a9dd84400" /></Relationships>
</file>

<file path=xl/drawings/_rels/drawing9.xml.rels>&#65279;<?xml version="1.0" encoding="utf-8"?><Relationships xmlns="http://schemas.openxmlformats.org/package/2006/relationships"><Relationship Type="http://schemas.openxmlformats.org/officeDocument/2006/relationships/image" Target="/xl/media/image13.png" Id="R3dca04c4efe049ff" /></Relationships>
</file>

<file path=xl/drawings/drawing1.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09ac5948baa346cf"/>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95849bd81c564ac9"/>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162184e1292149bd"/>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4.png"/>
        <xdr:cNvPicPr>
          <a:picLocks xmlns:a="http://schemas.openxmlformats.org/drawingml/2006/main" noChangeAspect="1"/>
        </xdr:cNvPicPr>
      </xdr:nvPicPr>
      <xdr:blipFill>
        <a:blip xmlns:r="http://schemas.openxmlformats.org/officeDocument/2006/relationships" xmlns:a="http://schemas.openxmlformats.org/drawingml/2006/main" r:embed="R7faf46403ef94ff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34</xdr:row>
      <xdr:rowOff>0</xdr:rowOff>
    </xdr:from>
    <xdr:ext cx="6858000" cy="5554980"/>
    <xdr:pic>
      <xdr:nvPicPr>
        <xdr:cNvPr id="2" name="/xl/media/image5.png"/>
        <xdr:cNvPicPr>
          <a:picLocks xmlns:a="http://schemas.openxmlformats.org/drawingml/2006/main" noChangeAspect="1"/>
        </xdr:cNvPicPr>
      </xdr:nvPicPr>
      <xdr:blipFill>
        <a:blip xmlns:r="http://schemas.openxmlformats.org/officeDocument/2006/relationships" xmlns:a="http://schemas.openxmlformats.org/drawingml/2006/main" r:embed="Rb5a856e2687048fa"/>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6.png"/>
        <xdr:cNvPicPr>
          <a:picLocks xmlns:a="http://schemas.openxmlformats.org/drawingml/2006/main" noChangeAspect="1"/>
        </xdr:cNvPicPr>
      </xdr:nvPicPr>
      <xdr:blipFill>
        <a:blip xmlns:r="http://schemas.openxmlformats.org/officeDocument/2006/relationships" xmlns:a="http://schemas.openxmlformats.org/drawingml/2006/main" r:embed="Rc5de4d77dfa6406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34</xdr:row>
      <xdr:rowOff>0</xdr:rowOff>
    </xdr:from>
    <xdr:ext cx="6858000" cy="5554980"/>
    <xdr:pic>
      <xdr:nvPicPr>
        <xdr:cNvPr id="2" name="/xl/media/image7.png"/>
        <xdr:cNvPicPr>
          <a:picLocks xmlns:a="http://schemas.openxmlformats.org/drawingml/2006/main" noChangeAspect="1"/>
        </xdr:cNvPicPr>
      </xdr:nvPicPr>
      <xdr:blipFill>
        <a:blip xmlns:r="http://schemas.openxmlformats.org/officeDocument/2006/relationships" xmlns:a="http://schemas.openxmlformats.org/drawingml/2006/main" r:embed="Rc3d505e57eb6450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65</xdr:row>
      <xdr:rowOff>0</xdr:rowOff>
    </xdr:from>
    <xdr:ext cx="6858000" cy="5554980"/>
    <xdr:pic>
      <xdr:nvPicPr>
        <xdr:cNvPr id="3" name="/xl/media/image8.png"/>
        <xdr:cNvPicPr>
          <a:picLocks xmlns:a="http://schemas.openxmlformats.org/drawingml/2006/main" noChangeAspect="1"/>
        </xdr:cNvPicPr>
      </xdr:nvPicPr>
      <xdr:blipFill>
        <a:blip xmlns:r="http://schemas.openxmlformats.org/officeDocument/2006/relationships" xmlns:a="http://schemas.openxmlformats.org/drawingml/2006/main" r:embed="R1fd38ebc62714183"/>
        <a:stretch xmlns:a="http://schemas.openxmlformats.org/drawingml/2006/main">
          <a:fillRect/>
        </a:stretch>
      </xdr:blipFill>
      <xdr:spPr>
        <a:prstGeom xmlns:a="http://schemas.openxmlformats.org/drawingml/2006/main" prst="rect"/>
      </xdr:spPr>
    </xdr:pic>
    <xdr:clientData/>
  </xdr:oneCellAnchor>
</xdr:wsDr>
</file>

<file path=xl/drawings/drawing6.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9.png"/>
        <xdr:cNvPicPr>
          <a:picLocks xmlns:a="http://schemas.openxmlformats.org/drawingml/2006/main" noChangeAspect="1"/>
        </xdr:cNvPicPr>
      </xdr:nvPicPr>
      <xdr:blipFill>
        <a:blip xmlns:r="http://schemas.openxmlformats.org/officeDocument/2006/relationships" xmlns:a="http://schemas.openxmlformats.org/drawingml/2006/main" r:embed="Rd87eac8b6a0644d0"/>
        <a:stretch xmlns:a="http://schemas.openxmlformats.org/drawingml/2006/main">
          <a:fillRect/>
        </a:stretch>
      </xdr:blipFill>
      <xdr:spPr>
        <a:prstGeom xmlns:a="http://schemas.openxmlformats.org/drawingml/2006/main" prst="rect"/>
      </xdr:spPr>
    </xdr:pic>
    <xdr:clientData/>
  </xdr:oneCellAnchor>
</xdr:wsDr>
</file>

<file path=xl/drawings/drawing7.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10.png"/>
        <xdr:cNvPicPr>
          <a:picLocks xmlns:a="http://schemas.openxmlformats.org/drawingml/2006/main" noChangeAspect="1"/>
        </xdr:cNvPicPr>
      </xdr:nvPicPr>
      <xdr:blipFill>
        <a:blip xmlns:r="http://schemas.openxmlformats.org/officeDocument/2006/relationships" xmlns:a="http://schemas.openxmlformats.org/drawingml/2006/main" r:embed="R1f2268e5f19c482f"/>
        <a:stretch xmlns:a="http://schemas.openxmlformats.org/drawingml/2006/main">
          <a:fillRect/>
        </a:stretch>
      </xdr:blipFill>
      <xdr:spPr>
        <a:prstGeom xmlns:a="http://schemas.openxmlformats.org/drawingml/2006/main" prst="rect"/>
      </xdr:spPr>
    </xdr:pic>
    <xdr:clientData/>
  </xdr:oneCellAnchor>
</xdr:wsDr>
</file>

<file path=xl/drawings/drawing8.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11.png"/>
        <xdr:cNvPicPr>
          <a:picLocks xmlns:a="http://schemas.openxmlformats.org/drawingml/2006/main" noChangeAspect="1"/>
        </xdr:cNvPicPr>
      </xdr:nvPicPr>
      <xdr:blipFill>
        <a:blip xmlns:r="http://schemas.openxmlformats.org/officeDocument/2006/relationships" xmlns:a="http://schemas.openxmlformats.org/drawingml/2006/main" r:embed="Rc74aef86aa35453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34</xdr:row>
      <xdr:rowOff>0</xdr:rowOff>
    </xdr:from>
    <xdr:ext cx="6858000" cy="5554980"/>
    <xdr:pic>
      <xdr:nvPicPr>
        <xdr:cNvPr id="2" name="/xl/media/image12.png"/>
        <xdr:cNvPicPr>
          <a:picLocks xmlns:a="http://schemas.openxmlformats.org/drawingml/2006/main" noChangeAspect="1"/>
        </xdr:cNvPicPr>
      </xdr:nvPicPr>
      <xdr:blipFill>
        <a:blip xmlns:r="http://schemas.openxmlformats.org/officeDocument/2006/relationships" xmlns:a="http://schemas.openxmlformats.org/drawingml/2006/main" r:embed="Rec5be52a9dd84400"/>
        <a:stretch xmlns:a="http://schemas.openxmlformats.org/drawingml/2006/main">
          <a:fillRect/>
        </a:stretch>
      </xdr:blipFill>
      <xdr:spPr>
        <a:prstGeom xmlns:a="http://schemas.openxmlformats.org/drawingml/2006/main" prst="rect"/>
      </xdr:spPr>
    </xdr:pic>
    <xdr:clientData/>
  </xdr:oneCellAnchor>
</xdr:wsDr>
</file>

<file path=xl/drawings/drawing9.xml><?xml version="1.0" encoding="utf-8"?>
<xdr:wsDr xmlns:xdr="http://schemas.openxmlformats.org/drawingml/2006/spreadsheetDrawing">
  <xdr:oneCellAnchor>
    <xdr:from>
      <xdr:col>1</xdr:col>
      <xdr:colOff>0</xdr:colOff>
      <xdr:row>3</xdr:row>
      <xdr:rowOff>0</xdr:rowOff>
    </xdr:from>
    <xdr:ext cx="6858000" cy="5554980"/>
    <xdr:pic>
      <xdr:nvPicPr>
        <xdr:cNvPr id="1" name="/xl/media/image13.png"/>
        <xdr:cNvPicPr>
          <a:picLocks xmlns:a="http://schemas.openxmlformats.org/drawingml/2006/main" noChangeAspect="1"/>
        </xdr:cNvPicPr>
      </xdr:nvPicPr>
      <xdr:blipFill>
        <a:blip xmlns:r="http://schemas.openxmlformats.org/officeDocument/2006/relationships" xmlns:a="http://schemas.openxmlformats.org/drawingml/2006/main" r:embed="R3dca04c4efe049ff"/>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0920040a4d8a4f9a" /></Relationships>
</file>

<file path=xl/worksheets/_rels/sheet2.xml.rels>&#65279;<?xml version="1.0" encoding="utf-8"?><Relationships xmlns="http://schemas.openxmlformats.org/package/2006/relationships"><Relationship Type="http://schemas.openxmlformats.org/officeDocument/2006/relationships/drawing" Target="/xl/drawings/drawing2.xml" Id="R7547636e23be4c1c" /></Relationships>
</file>

<file path=xl/worksheets/_rels/sheet3.xml.rels>&#65279;<?xml version="1.0" encoding="utf-8"?><Relationships xmlns="http://schemas.openxmlformats.org/package/2006/relationships"><Relationship Type="http://schemas.openxmlformats.org/officeDocument/2006/relationships/drawing" Target="/xl/drawings/drawing3.xml" Id="Rca2845d03b3f4d67" /></Relationships>
</file>

<file path=xl/worksheets/_rels/sheet4.xml.rels>&#65279;<?xml version="1.0" encoding="utf-8"?><Relationships xmlns="http://schemas.openxmlformats.org/package/2006/relationships"><Relationship Type="http://schemas.openxmlformats.org/officeDocument/2006/relationships/drawing" Target="/xl/drawings/drawing4.xml" Id="Rc8e8c31999dd414c" /></Relationships>
</file>

<file path=xl/worksheets/_rels/sheet5.xml.rels>&#65279;<?xml version="1.0" encoding="utf-8"?><Relationships xmlns="http://schemas.openxmlformats.org/package/2006/relationships"><Relationship Type="http://schemas.openxmlformats.org/officeDocument/2006/relationships/drawing" Target="/xl/drawings/drawing5.xml" Id="R5d5944e9b25c476b" /></Relationships>
</file>

<file path=xl/worksheets/_rels/sheet6.xml.rels>&#65279;<?xml version="1.0" encoding="utf-8"?><Relationships xmlns="http://schemas.openxmlformats.org/package/2006/relationships"><Relationship Type="http://schemas.openxmlformats.org/officeDocument/2006/relationships/drawing" Target="/xl/drawings/drawing6.xml" Id="R97304e62d2de4d37" /></Relationships>
</file>

<file path=xl/worksheets/_rels/sheet7.xml.rels>&#65279;<?xml version="1.0" encoding="utf-8"?><Relationships xmlns="http://schemas.openxmlformats.org/package/2006/relationships"><Relationship Type="http://schemas.openxmlformats.org/officeDocument/2006/relationships/drawing" Target="/xl/drawings/drawing7.xml" Id="Re7136298ac4f4a54" /></Relationships>
</file>

<file path=xl/worksheets/_rels/sheet8.xml.rels>&#65279;<?xml version="1.0" encoding="utf-8"?><Relationships xmlns="http://schemas.openxmlformats.org/package/2006/relationships"><Relationship Type="http://schemas.openxmlformats.org/officeDocument/2006/relationships/drawing" Target="/xl/drawings/drawing8.xml" Id="Rf87beef7c5864fda" /></Relationships>
</file>

<file path=xl/worksheets/_rels/sheet9.xml.rels>&#65279;<?xml version="1.0" encoding="utf-8"?><Relationships xmlns="http://schemas.openxmlformats.org/package/2006/relationships"><Relationship Type="http://schemas.openxmlformats.org/officeDocument/2006/relationships/drawing" Target="/xl/drawings/drawing9.xml" Id="Rf238921d467745ff" /></Relationships>
</file>

<file path=xl/worksheets/sheet1.xml><?xml version="1.0" encoding="utf-8"?>
<x:worksheet xmlns:x="http://schemas.openxmlformats.org/spreadsheetml/2006/main">
  <x:sheetViews>
    <x:sheetView showGridLines="0" workbookViewId="0"/>
  </x:sheetViews>
  <x:sheetFormatPr defaultRowHeight="15"/>
  <x:cols>
    <x:col min="1" max="1" width="3" hidden="0" customWidth="1"/>
    <x:col min="2" max="2" width="59" hidden="0" customWidth="1"/>
    <x:col min="3" max="3" width="24" hidden="0" customWidth="1"/>
    <x:col min="4" max="4" width="24" hidden="0" customWidth="1"/>
    <x:col min="5" max="5" width="24"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Desembolsos</x:v>
      </x:c>
      <x:c r="C2" s="32"/>
      <x:c r="D2" s="32"/>
      <x:c r="E2" s="32"/>
      <x:c r="F2" s="32"/>
      <x:c r="G2" s="32"/>
      <x:c r="H2" s="32"/>
      <x:c r="I2" s="1"/>
      <x:c r="J2" s="1"/>
      <x:c r="K2" s="1"/>
      <x:c r="L2" s="1"/>
      <x:c r="M2" s="1"/>
      <x:c r="N2" s="1"/>
      <x:c r="O2" s="1"/>
      <x:c r="P2" s="1"/>
    </x:row>
    <x:row r="3" ht="26" customHeight="1">
      <x:c r="A3" s="1"/>
      <x:c r="B3" s="34" t="str">
        <x:v>Gislaine Araujo Silva | 03/11/2026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46" customHeight="1">
      <x:c r="A6" s="1"/>
      <x:c r="B6" s="8" t="str">
        <x:v>Aplicação do dinheiro</x:v>
      </x:c>
      <x:c r="C6" s="8" t="str">
        <x:v>Pagamento inicial</x:v>
      </x:c>
      <x:c r="D6" s="8" t="str">
        <x:v>Pagamentos posteriores</x:v>
      </x:c>
      <x:c r="E6" s="8" t="str">
        <x:v>Total confirmado USD</x:v>
      </x:c>
      <x:c r="F6" s="1"/>
      <x:c r="G6" s="1"/>
      <x:c r="H6" s="1"/>
      <x:c r="I6" s="1"/>
      <x:c r="J6" s="1"/>
      <x:c r="K6" s="1"/>
      <x:c r="L6" s="1"/>
      <x:c r="M6" s="1"/>
      <x:c r="N6" s="1"/>
      <x:c r="O6" s="1"/>
      <x:c r="P6" s="1"/>
    </x:row>
    <x:row r="7" ht="46" customHeight="1">
      <x:c r="A7" s="1"/>
      <x:c r="B7" s="10" t="str">
        <x:v>Terreno</x:v>
      </x:c>
      <x:c r="C7" s="38" t="str">
        <x:v>Não informado</x:v>
      </x:c>
      <x:c r="D7" s="38" t="str">
        <x:v>Não informado</x:v>
      </x:c>
      <x:c r="E7" s="38" t="n">
        <x:f>Premissas!C11</x:f>
        <x:v>16500000</x:v>
      </x:c>
      <x:c r="F7" s="1"/>
      <x:c r="G7" s="1"/>
      <x:c r="H7" s="1"/>
      <x:c r="I7" s="1"/>
      <x:c r="J7" s="1"/>
      <x:c r="K7" s="1"/>
      <x:c r="L7" s="1"/>
      <x:c r="M7" s="1"/>
      <x:c r="N7" s="1"/>
      <x:c r="O7" s="1"/>
      <x:c r="P7" s="1"/>
    </x:row>
    <x:row r="8" ht="46" customHeight="1">
      <x:c r="A8" s="1"/>
      <x:c r="B8" s="10" t="str">
        <x:v>Implantação — projeção de três anos</x:v>
      </x:c>
      <x:c r="C8" s="38" t="str">
        <x:v>Não informado</x:v>
      </x:c>
      <x:c r="D8" s="38" t="str">
        <x:v>Não informado</x:v>
      </x:c>
      <x:c r="E8" s="38" t="n">
        <x:f>Premissas!C32</x:f>
        <x:v>33486663</x:v>
      </x:c>
      <x:c r="F8" s="1"/>
      <x:c r="G8" s="1"/>
      <x:c r="H8" s="1"/>
      <x:c r="I8" s="1"/>
      <x:c r="J8" s="1"/>
      <x:c r="K8" s="1"/>
      <x:c r="L8" s="1"/>
      <x:c r="M8" s="1"/>
      <x:c r="N8" s="1"/>
      <x:c r="O8" s="1"/>
      <x:c r="P8" s="1"/>
    </x:row>
    <x:row r="9" ht="46" customHeight="1">
      <x:c r="A9" s="1"/>
      <x:c r="B9" s="10"/>
      <x:c r="C9" s="38"/>
      <x:c r="D9" s="38"/>
      <x:c r="E9" s="38"/>
      <x:c r="F9" s="1"/>
      <x:c r="G9" s="1"/>
      <x:c r="H9" s="1"/>
      <x:c r="I9" s="1"/>
      <x:c r="J9" s="1"/>
      <x:c r="K9" s="1"/>
      <x:c r="L9" s="1"/>
      <x:c r="M9" s="1"/>
      <x:c r="N9" s="1"/>
      <x:c r="O9" s="1"/>
      <x:c r="P9" s="1"/>
    </x:row>
    <x:row r="10" ht="46" customHeight="1">
      <x:c r="A10" s="1"/>
      <x:c r="B10" s="10"/>
      <x:c r="C10" s="38"/>
      <x:c r="D10" s="38"/>
      <x:c r="E10" s="38"/>
      <x:c r="F10" s="1"/>
      <x:c r="G10" s="1"/>
      <x:c r="H10" s="1"/>
      <x:c r="I10" s="1"/>
      <x:c r="J10" s="1"/>
      <x:c r="K10" s="1"/>
      <x:c r="L10" s="1"/>
      <x:c r="M10" s="1"/>
      <x:c r="N10" s="1"/>
      <x:c r="O10" s="1"/>
      <x:c r="P10" s="1"/>
    </x:row>
    <x:row r="11" ht="46" customHeight="1">
      <x:c r="A11" s="1"/>
      <x:c r="B11" s="10"/>
      <x:c r="C11" s="38"/>
      <x:c r="D11" s="38"/>
      <x:c r="E11" s="38"/>
      <x:c r="F11" s="1"/>
      <x:c r="G11" s="1"/>
      <x:c r="H11" s="1"/>
      <x:c r="I11" s="1"/>
      <x:c r="J11" s="1"/>
      <x:c r="K11" s="1"/>
      <x:c r="L11" s="1"/>
      <x:c r="M11" s="1"/>
      <x:c r="N11" s="1"/>
      <x:c r="O11" s="1"/>
      <x:c r="P11" s="1"/>
    </x:row>
    <x:row r="12" ht="46" customHeight="1">
      <x:c r="A12" s="1"/>
      <x:c r="B12" s="10"/>
      <x:c r="C12" s="38"/>
      <x:c r="D12" s="38"/>
      <x:c r="E12" s="38"/>
      <x:c r="F12" s="1"/>
      <x:c r="G12" s="1"/>
      <x:c r="H12" s="1"/>
      <x:c r="I12" s="1"/>
      <x:c r="J12" s="1"/>
      <x:c r="K12" s="1"/>
      <x:c r="L12" s="1"/>
      <x:c r="M12" s="1"/>
      <x:c r="N12" s="1"/>
      <x:c r="O12" s="1"/>
      <x:c r="P12" s="1"/>
    </x:row>
    <x:row r="13" ht="46" customHeight="1">
      <x:c r="A13" s="1"/>
      <x:c r="B13" s="10"/>
      <x:c r="C13" s="38"/>
      <x:c r="D13" s="38"/>
      <x:c r="E13" s="38"/>
      <x:c r="F13" s="1"/>
      <x:c r="G13" s="1"/>
      <x:c r="H13" s="1"/>
      <x:c r="I13" s="1"/>
      <x:c r="J13" s="1"/>
      <x:c r="K13" s="1"/>
      <x:c r="L13" s="1"/>
      <x:c r="M13" s="1"/>
      <x:c r="N13" s="1"/>
      <x:c r="O13" s="1"/>
      <x:c r="P13" s="1"/>
    </x:row>
    <x:row r="14" ht="46" customHeight="1">
      <x:c r="A14" s="1"/>
      <x:c r="B14" s="10"/>
      <x:c r="C14" s="38"/>
      <x:c r="D14" s="38"/>
      <x:c r="E14" s="38"/>
      <x:c r="F14" s="1"/>
      <x:c r="G14" s="1"/>
      <x:c r="H14" s="1"/>
      <x:c r="I14" s="1"/>
      <x:c r="J14" s="1"/>
      <x:c r="K14" s="1"/>
      <x:c r="L14" s="1"/>
      <x:c r="M14" s="1"/>
      <x:c r="N14" s="1"/>
      <x:c r="O14" s="1"/>
      <x:c r="P14" s="1"/>
    </x:row>
    <x:row r="15" ht="46" customHeight="1">
      <x:c r="A15" s="1"/>
      <x:c r="B15" s="41" t="str">
        <x:v>TERRENO + IMPLANTAÇÃO — ACUMULADO</x:v>
      </x:c>
      <x:c r="C15" s="42"/>
      <x:c r="D15" s="42"/>
      <x:c r="E15" s="42" t="n">
        <x:f>SUM(E7:E8)</x:f>
        <x:v>49986663</x:v>
      </x:c>
      <x:c r="F15" s="1"/>
      <x:c r="G15" s="1"/>
      <x:c r="H15" s="1"/>
      <x:c r="I15" s="1"/>
      <x:c r="J15" s="1"/>
      <x:c r="K15" s="1"/>
      <x:c r="L15" s="1"/>
      <x:c r="M15" s="1"/>
      <x:c r="N15" s="1"/>
      <x:c r="O15" s="1"/>
      <x:c r="P15" s="1"/>
    </x:row>
    <x:row r="16" ht="46" customHeight="1">
      <x:c r="A16" s="1"/>
      <x:c r="B16" s="10"/>
      <x:c r="C16" s="38"/>
      <x:c r="D16" s="38"/>
      <x:c r="E16" s="38"/>
      <x:c r="F16" s="1"/>
      <x:c r="G16" s="1"/>
      <x:c r="H16" s="1"/>
      <x:c r="I16" s="1"/>
      <x:c r="J16" s="1"/>
      <x:c r="K16" s="1"/>
      <x:c r="L16" s="1"/>
      <x:c r="M16" s="1"/>
      <x:c r="N16" s="1"/>
      <x:c r="O16" s="1"/>
      <x:c r="P16" s="1"/>
    </x:row>
    <x:row r="17" ht="46" customHeight="1">
      <x:c r="A17" s="1"/>
      <x:c r="B17" s="10"/>
      <x:c r="C17" s="38"/>
      <x:c r="D17" s="38"/>
      <x:c r="E17" s="38"/>
      <x:c r="F17" s="1"/>
      <x:c r="G17" s="1"/>
      <x:c r="H17" s="1"/>
      <x:c r="I17" s="1"/>
      <x:c r="J17" s="1"/>
      <x:c r="K17" s="1"/>
      <x:c r="L17" s="1"/>
      <x:c r="M17" s="1"/>
      <x:c r="N17" s="1"/>
      <x:c r="O17" s="1"/>
      <x:c r="P17" s="1"/>
    </x:row>
    <x:row r="18" ht="46" customHeight="1">
      <x:c r="A18" s="1"/>
      <x:c r="B18" s="10"/>
      <x:c r="C18" s="38"/>
      <x:c r="D18" s="38"/>
      <x:c r="E18" s="38"/>
      <x:c r="F18" s="1"/>
      <x:c r="G18" s="1"/>
      <x:c r="H18" s="1"/>
      <x:c r="I18" s="1"/>
      <x:c r="J18" s="1"/>
      <x:c r="K18" s="1"/>
      <x:c r="L18" s="1"/>
      <x:c r="M18" s="1"/>
      <x:c r="N18" s="1"/>
      <x:c r="O18" s="1"/>
      <x:c r="P18" s="1"/>
    </x:row>
    <x:row r="19" ht="46" customHeight="1">
      <x:c r="A19" s="1"/>
      <x:c r="B19" s="10" t="str">
        <x:v>Marketing — apresentado separadamente</x:v>
      </x:c>
      <x:c r="C19" s="38"/>
      <x:c r="D19" s="38"/>
      <x:c r="E19" s="38" t="n">
        <x:f>Resumo!D12</x:f>
        <x:v>2113200</x:v>
      </x:c>
      <x:c r="F19" s="1"/>
      <x:c r="G19" s="1"/>
      <x:c r="H19" s="1"/>
      <x:c r="I19" s="1"/>
      <x:c r="J19" s="1"/>
      <x:c r="K19" s="1"/>
      <x:c r="L19" s="1"/>
      <x:c r="M19" s="1"/>
      <x:c r="N19" s="1"/>
      <x:c r="O19" s="1"/>
      <x:c r="P19" s="1"/>
    </x:row>
    <x:row r="20" ht="46" customHeight="1">
      <x:c r="A20" s="1"/>
      <x:c r="B20" s="10"/>
      <x:c r="C20" s="38"/>
      <x:c r="D20" s="38"/>
      <x:c r="E20" s="38"/>
      <x:c r="F20" s="1"/>
      <x:c r="G20" s="1"/>
      <x:c r="H20" s="1"/>
      <x:c r="I20" s="1"/>
      <x:c r="J20" s="1"/>
      <x:c r="K20" s="1"/>
      <x:c r="L20" s="1"/>
      <x:c r="M20" s="1"/>
      <x:c r="N20" s="1"/>
      <x:c r="O20" s="1"/>
      <x:c r="P20" s="1"/>
    </x:row>
    <x:row r="21" ht="46" customHeight="1">
      <x:c r="A21" s="1"/>
      <x:c r="B21" s="10"/>
      <x:c r="C21" s="38"/>
      <x:c r="D21" s="38"/>
      <x:c r="E21" s="38"/>
      <x:c r="F21" s="1"/>
      <x:c r="G21" s="1"/>
      <x:c r="H21" s="1"/>
      <x:c r="I21" s="1"/>
      <x:c r="J21" s="1"/>
      <x:c r="K21" s="1"/>
      <x:c r="L21" s="1"/>
      <x:c r="M21" s="1"/>
      <x:c r="N21" s="1"/>
      <x:c r="O21" s="1"/>
      <x:c r="P21" s="1"/>
    </x:row>
    <x:row r="22" ht="46" customHeight="1">
      <x:c r="A22" s="1"/>
      <x:c r="B22" s="10" t="str">
        <x:v>O total acumulado não é uma nova fase adicional. O prazo de três anos não define as datas de pagamento.</x:v>
      </x:c>
      <x:c r="C22" s="38"/>
      <x:c r="D22" s="38"/>
      <x:c r="E22" s="38"/>
      <x:c r="F22" s="1"/>
      <x:c r="G22" s="1"/>
      <x:c r="H22" s="1"/>
      <x:c r="I22" s="1"/>
      <x:c r="J22" s="1"/>
      <x:c r="K22" s="1"/>
      <x:c r="L22" s="1"/>
      <x:c r="M22" s="1"/>
      <x:c r="N22" s="1"/>
      <x:c r="O22" s="1"/>
      <x:c r="P22" s="1"/>
    </x:row>
    <x:row r="23" ht="23" customHeight="1">
      <x:c r="A23" s="1"/>
      <x:c r="B23" s="1"/>
      <x:c r="C23" s="1"/>
      <x:c r="D23" s="1"/>
      <x:c r="E23" s="1"/>
      <x:c r="F23" s="1"/>
      <x:c r="G23" s="1"/>
      <x:c r="H23" s="1"/>
      <x:c r="I23" s="1"/>
      <x:c r="J23" s="1"/>
      <x:c r="K23" s="1"/>
      <x:c r="L23" s="1"/>
      <x:c r="M23" s="1"/>
      <x:c r="N23" s="1"/>
      <x:c r="O23" s="1"/>
      <x:c r="P23" s="1"/>
    </x:row>
    <x:row r="24" ht="23" customHeight="1">
      <x:c r="A24" s="1"/>
      <x:c r="B24" s="1"/>
      <x:c r="C24" s="1"/>
      <x:c r="D24" s="1"/>
      <x:c r="E24" s="1"/>
      <x:c r="F24" s="1"/>
      <x:c r="G24" s="1"/>
      <x:c r="H24" s="1"/>
      <x:c r="I24" s="1"/>
      <x:c r="J24" s="1"/>
      <x:c r="K24" s="1"/>
      <x:c r="L24" s="1"/>
      <x:c r="M24" s="1"/>
      <x:c r="N24" s="1"/>
      <x:c r="O24" s="1"/>
      <x:c r="P24" s="1"/>
    </x:row>
    <x:row r="25" ht="48" customHeight="1">
      <x:c r="A25" s="1"/>
      <x:c r="B25" s="10" t="str">
        <x:v>Terreno e implantação: US$ 49.986.663. Marketing separado. Prazo de implantação: 36 meses.</x:v>
      </x:c>
      <x:c r="C25" s="10"/>
      <x:c r="D25" s="10"/>
      <x:c r="E25" s="10"/>
      <x:c r="F25" s="1"/>
      <x:c r="G25" s="1"/>
      <x:c r="H25" s="1"/>
      <x:c r="I25" s="1"/>
      <x:c r="J25" s="1"/>
      <x:c r="K25" s="1"/>
      <x:c r="L25" s="1"/>
      <x:c r="M25" s="1"/>
      <x:c r="N25" s="1"/>
      <x:c r="O25" s="1"/>
      <x:c r="P25" s="1"/>
    </x:row>
    <x:row r="26" ht="48" customHeight="1">
      <x:c r="A26" s="1"/>
      <x:c r="B26" s="10" t="str">
        <x:v>O cronograma de pagamentos não foi informado. Os valores não incluem provisões automáticas de tributos.</x:v>
      </x:c>
      <x:c r="C26" s="10"/>
      <x:c r="D26" s="10"/>
      <x:c r="E26" s="10"/>
      <x:c r="F26" s="1"/>
      <x:c r="G26" s="1"/>
      <x:c r="H26" s="1"/>
      <x:c r="I26" s="1"/>
      <x:c r="J26" s="1"/>
      <x:c r="K26" s="1"/>
      <x:c r="L26" s="1"/>
      <x:c r="M26" s="1"/>
      <x:c r="N26" s="1"/>
      <x:c r="O26" s="1"/>
      <x:c r="P26" s="1"/>
    </x:row>
    <x:row r="27" ht="48" customHeight="1">
      <x:c r="A27" s="1"/>
      <x:c r="B27" s="10"/>
      <x:c r="C27" s="10"/>
      <x:c r="D27" s="10"/>
      <x:c r="E27" s="10"/>
      <x:c r="F27" s="1"/>
      <x:c r="G27" s="1"/>
      <x:c r="H27" s="1"/>
      <x:c r="I27" s="1"/>
      <x:c r="J27" s="1"/>
      <x:c r="K27" s="1"/>
      <x:c r="L27" s="1"/>
      <x:c r="M27" s="1"/>
      <x:c r="N27" s="1"/>
      <x:c r="O27" s="1"/>
      <x:c r="P27" s="1"/>
    </x:row>
    <x:row r="28" ht="48" customHeight="1">
      <x:c r="A28" s="1"/>
      <x:c r="B28" s="10" t="str">
        <x:v>Fontes e conversões monetárias: aba Precos das fontes. Valores deste quadro em USD.</x:v>
      </x:c>
      <x:c r="C28" s="10"/>
      <x:c r="D28" s="10"/>
      <x:c r="E28" s="10"/>
      <x:c r="F28" s="1"/>
      <x:c r="G28" s="1"/>
      <x:c r="H28" s="1"/>
      <x:c r="I28" s="1"/>
      <x:c r="J28" s="1"/>
      <x:c r="K28" s="1"/>
      <x:c r="L28" s="1"/>
      <x:c r="M28" s="1"/>
      <x:c r="N28" s="1"/>
      <x:c r="O28" s="1"/>
      <x:c r="P28" s="1"/>
    </x:row>
    <x:row r="29" ht="23" customHeight="1">
      <x:c r="A29" s="1"/>
      <x:c r="B29" s="1"/>
      <x:c r="C29" s="1"/>
      <x:c r="D29" s="1"/>
      <x:c r="E29" s="1"/>
      <x:c r="F29" s="1"/>
      <x:c r="G29" s="1"/>
      <x:c r="H29" s="1"/>
      <x:c r="I29" s="1"/>
      <x:c r="J29" s="1"/>
      <x:c r="K29" s="1"/>
      <x:c r="L29" s="1"/>
      <x:c r="M29" s="1"/>
      <x:c r="N29" s="1"/>
      <x:c r="O29" s="1"/>
      <x:c r="P29" s="1"/>
    </x:row>
    <x:row r="30" ht="23" customHeight="1">
      <x:c r="A30" s="1"/>
      <x:c r="B30" s="1"/>
      <x:c r="C30" s="1"/>
      <x:c r="D30" s="1"/>
      <x:c r="E30" s="1"/>
      <x:c r="F30" s="1"/>
      <x:c r="G30" s="1"/>
      <x:c r="H30" s="1"/>
      <x:c r="I30" s="1"/>
      <x:c r="J30" s="1"/>
      <x:c r="K30" s="1"/>
      <x:c r="L30" s="1"/>
      <x:c r="M30" s="1"/>
      <x:c r="N30" s="1"/>
      <x:c r="O30" s="1"/>
      <x:c r="P30" s="1"/>
    </x:row>
    <x:row r="31" ht="23" customHeight="1">
      <x:c r="A31" s="1"/>
      <x:c r="B31" s="1"/>
      <x:c r="C31" s="1"/>
      <x:c r="D31" s="1"/>
      <x:c r="E31" s="1"/>
      <x:c r="F31" s="1"/>
      <x:c r="G31" s="1"/>
      <x:c r="H31" s="1"/>
      <x:c r="I31" s="1"/>
      <x:c r="J31" s="1"/>
      <x:c r="K31" s="1"/>
      <x:c r="L31" s="1"/>
      <x:c r="M31" s="1"/>
      <x:c r="N31" s="1"/>
      <x:c r="O31" s="1"/>
      <x:c r="P31" s="1"/>
    </x:row>
    <x:row r="32" ht="23" customHeight="1">
      <x:c r="A32" s="1"/>
      <x:c r="B32" s="1"/>
      <x:c r="C32" s="1"/>
      <x:c r="D32" s="1"/>
      <x:c r="E32" s="1"/>
      <x:c r="F32" s="1"/>
      <x:c r="G32" s="1"/>
      <x:c r="H32" s="1"/>
      <x:c r="I32" s="1"/>
      <x:c r="J32" s="1"/>
      <x:c r="K32" s="1"/>
      <x:c r="L32" s="1"/>
      <x:c r="M32" s="1"/>
      <x:c r="N32" s="1"/>
      <x:c r="O32" s="1"/>
      <x:c r="P32" s="1"/>
    </x:row>
    <x:row r="33" ht="23" customHeight="1">
      <x:c r="A33" s="1"/>
      <x:c r="B33" s="1"/>
      <x:c r="C33" s="1"/>
      <x:c r="D33" s="1"/>
      <x:c r="E33" s="1"/>
      <x:c r="F33" s="1"/>
      <x:c r="G33" s="1"/>
      <x:c r="H33" s="1"/>
      <x:c r="I33" s="1"/>
      <x:c r="J33" s="1"/>
      <x:c r="K33" s="1"/>
      <x:c r="L33" s="1"/>
      <x:c r="M33" s="1"/>
      <x:c r="N33" s="1"/>
      <x:c r="O33" s="1"/>
      <x:c r="P33" s="1"/>
    </x:row>
    <x:row r="34" ht="23" customHeight="1">
      <x:c r="A34" s="1"/>
      <x:c r="B34" s="1"/>
      <x:c r="C34" s="1"/>
      <x:c r="D34" s="1"/>
      <x:c r="E34" s="1"/>
      <x:c r="F34" s="1"/>
      <x:c r="G34" s="1"/>
      <x:c r="H34" s="1"/>
      <x:c r="I34" s="1"/>
      <x:c r="J34" s="1"/>
      <x:c r="K34" s="1"/>
      <x:c r="L34" s="1"/>
      <x:c r="M34" s="1"/>
      <x:c r="N34" s="1"/>
      <x:c r="O34" s="1"/>
      <x:c r="P34" s="1"/>
    </x:row>
    <x:row r="35" ht="23" customHeight="1">
      <x:c r="A35" s="1"/>
      <x:c r="B35" s="1"/>
      <x:c r="C35" s="1"/>
      <x:c r="D35" s="1"/>
      <x:c r="E35" s="1"/>
      <x:c r="F35" s="1"/>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x:c r="C39" s="1"/>
      <x:c r="D39" s="1"/>
      <x:c r="E39" s="1"/>
      <x:c r="F39" s="1"/>
      <x:c r="G39" s="1"/>
      <x:c r="H39" s="1"/>
      <x:c r="I39" s="1"/>
      <x:c r="J39" s="1"/>
      <x:c r="K39" s="1"/>
      <x:c r="L39" s="1"/>
      <x:c r="M39" s="1"/>
      <x:c r="N39" s="1"/>
      <x:c r="O39" s="1"/>
      <x:c r="P39" s="1"/>
    </x:row>
    <x:row r="40" ht="23" customHeight="1">
      <x:c r="A40" s="1"/>
      <x:c r="B40" s="1"/>
      <x:c r="C40" s="1"/>
      <x:c r="D40" s="1"/>
      <x:c r="E40" s="1"/>
      <x:c r="F40" s="1"/>
      <x:c r="G40" s="1"/>
      <x:c r="H40" s="1"/>
      <x:c r="I40" s="1"/>
      <x:c r="J40" s="1"/>
      <x:c r="K40" s="1"/>
      <x:c r="L40" s="1"/>
      <x:c r="M40" s="1"/>
      <x:c r="N40" s="1"/>
      <x:c r="O40" s="1"/>
      <x:c r="P40" s="1"/>
    </x:row>
    <x:row r="41" ht="23" customHeight="1">
      <x:c r="A41" s="1"/>
      <x:c r="B41" s="1"/>
      <x:c r="C41" s="1"/>
      <x:c r="D41" s="1"/>
      <x:c r="E41" s="1"/>
      <x:c r="F41" s="1"/>
      <x:c r="G41" s="1"/>
      <x:c r="H41" s="1"/>
      <x:c r="I41" s="1"/>
      <x:c r="J41" s="1"/>
      <x:c r="K41" s="1"/>
      <x:c r="L41" s="1"/>
      <x:c r="M41" s="1"/>
      <x:c r="N41" s="1"/>
      <x:c r="O41" s="1"/>
      <x:c r="P41" s="1"/>
    </x:row>
    <x:row r="42" ht="23" customHeight="1">
      <x:c r="A42" s="1"/>
      <x:c r="B42" s="1"/>
      <x:c r="C42" s="1"/>
      <x:c r="D42" s="1"/>
      <x:c r="E42" s="1"/>
      <x:c r="F42" s="1"/>
      <x:c r="G42" s="1"/>
      <x:c r="H42" s="1"/>
      <x:c r="I42" s="1"/>
      <x:c r="J42" s="1"/>
      <x:c r="K42" s="1"/>
      <x:c r="L42" s="1"/>
      <x:c r="M42" s="1"/>
      <x:c r="N42" s="1"/>
      <x:c r="O42" s="1"/>
      <x:c r="P42" s="1"/>
    </x:row>
    <x:row r="43" ht="23" customHeight="1">
      <x:c r="A43" s="1"/>
      <x:c r="B43" s="1"/>
      <x:c r="C43" s="1"/>
      <x:c r="D43" s="1"/>
      <x:c r="E43" s="1"/>
      <x:c r="F43" s="1"/>
      <x:c r="G43" s="1"/>
      <x:c r="H43" s="1"/>
      <x:c r="I43" s="1"/>
      <x:c r="J43" s="1"/>
      <x:c r="K43" s="1"/>
      <x:c r="L43" s="1"/>
      <x:c r="M43" s="1"/>
      <x:c r="N43" s="1"/>
      <x:c r="O43" s="1"/>
      <x:c r="P43" s="1"/>
    </x:row>
    <x:row r="44" ht="23" customHeight="1">
      <x:c r="A44" s="1"/>
      <x:c r="B44" s="1"/>
      <x:c r="C44" s="1"/>
      <x:c r="D44" s="1"/>
      <x:c r="E44" s="1"/>
      <x:c r="F44" s="1"/>
      <x:c r="G44" s="1"/>
      <x:c r="H44" s="1"/>
      <x:c r="I44" s="1"/>
      <x:c r="J44" s="1"/>
      <x:c r="K44" s="1"/>
      <x:c r="L44" s="1"/>
      <x:c r="M44" s="1"/>
      <x:c r="N44" s="1"/>
      <x:c r="O44" s="1"/>
      <x:c r="P44" s="1"/>
    </x:row>
    <x:row r="45" ht="23" customHeight="1">
      <x:c r="A45" s="1"/>
      <x:c r="B45" s="1"/>
      <x:c r="C45" s="1"/>
      <x:c r="D45" s="1"/>
      <x:c r="E45" s="1"/>
      <x:c r="F45" s="1"/>
      <x:c r="G45" s="1"/>
      <x:c r="H45" s="1"/>
      <x:c r="I45" s="1"/>
      <x:c r="J45" s="1"/>
      <x:c r="K45" s="1"/>
      <x:c r="L45" s="1"/>
      <x:c r="M45" s="1"/>
      <x:c r="N45" s="1"/>
      <x:c r="O45" s="1"/>
      <x:c r="P45" s="1"/>
    </x:row>
    <x:row r="46" ht="23" customHeight="1">
      <x:c r="A46" s="1"/>
      <x:c r="B46" s="1"/>
      <x:c r="C46" s="1"/>
      <x:c r="D46" s="1"/>
      <x:c r="E46" s="1"/>
      <x:c r="F46" s="1"/>
      <x:c r="G46" s="1"/>
      <x:c r="H46" s="1"/>
      <x:c r="I46" s="1"/>
      <x:c r="J46" s="1"/>
      <x:c r="K46" s="1"/>
      <x:c r="L46" s="1"/>
      <x:c r="M46" s="1"/>
      <x:c r="N46" s="1"/>
      <x:c r="O46" s="1"/>
      <x:c r="P46" s="1"/>
    </x:row>
    <x:row r="47" ht="23" customHeight="1">
      <x:c r="A47" s="1"/>
      <x:c r="B47" s="1"/>
      <x:c r="C47" s="1"/>
      <x:c r="D47" s="1"/>
      <x:c r="E47" s="1"/>
      <x:c r="F47" s="1"/>
      <x:c r="G47" s="1"/>
      <x:c r="H47" s="1"/>
      <x:c r="I47" s="1"/>
      <x:c r="J47" s="1"/>
      <x:c r="K47" s="1"/>
      <x:c r="L47" s="1"/>
      <x:c r="M47" s="1"/>
      <x:c r="N47" s="1"/>
      <x:c r="O47" s="1"/>
      <x:c r="P47" s="1"/>
    </x:row>
    <x:row r="48" ht="23" customHeight="1">
      <x:c r="A48" s="1"/>
      <x:c r="B48" s="1"/>
      <x:c r="C48" s="1"/>
      <x:c r="D48" s="1"/>
      <x:c r="E48" s="1"/>
      <x:c r="F48" s="1"/>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0920040a4d8a4f9a"/>
</x:worksheet>
</file>

<file path=xl/worksheets/sheet2.xml><?xml version="1.0" encoding="utf-8"?>
<x:worksheet xmlns:x="http://schemas.openxmlformats.org/spreadsheetml/2006/main">
  <x:sheetViews>
    <x:sheetView showGridLines="0" workbookViewId="0"/>
  </x:sheetViews>
  <x:sheetFormatPr defaultRowHeight="15"/>
  <x:cols>
    <x:col min="1" max="1" width="3" hidden="0" customWidth="1"/>
    <x:col min="2" max="2" width="64" hidden="0" customWidth="1"/>
    <x:col min="3" max="3" width="15" hidden="0" customWidth="1"/>
    <x:col min="4" max="4" width="23"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Heroes del Chaco | Estudo para investidores</x:v>
      </x:c>
      <x:c r="C2" s="32"/>
      <x:c r="D2" s="32"/>
      <x:c r="E2" s="32"/>
      <x:c r="F2" s="32"/>
      <x:c r="G2" s="32"/>
      <x:c r="H2" s="32"/>
      <x:c r="I2" s="1"/>
      <x:c r="J2" s="1"/>
      <x:c r="K2" s="1"/>
      <x:c r="L2" s="1"/>
      <x:c r="M2" s="1"/>
      <x:c r="N2" s="1"/>
      <x:c r="O2" s="1"/>
      <x:c r="P2" s="1"/>
    </x:row>
    <x:row r="3" ht="26" customHeight="1">
      <x:c r="A3" s="1"/>
      <x:c r="B3" s="34" t="str">
        <x:v>Gislaine Araujo Silva | 03/11/2026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Métrica</x:v>
      </x:c>
      <x:c r="C6" s="8" t="str">
        <x:v>Unidade</x:v>
      </x:c>
      <x:c r="D6" s="8" t="str">
        <x:v>Resultado ativo</x:v>
      </x:c>
      <x:c r="E6" s="1"/>
      <x:c r="F6" s="1"/>
      <x:c r="G6" s="1"/>
      <x:c r="H6" s="1"/>
      <x:c r="I6" s="1"/>
      <x:c r="J6" s="1"/>
      <x:c r="K6" s="1"/>
      <x:c r="L6" s="1"/>
      <x:c r="M6" s="1"/>
      <x:c r="N6" s="1"/>
      <x:c r="O6" s="1"/>
      <x:c r="P6" s="1"/>
    </x:row>
    <x:row r="7" ht="48" customHeight="1">
      <x:c r="A7" s="1"/>
      <x:c r="B7" s="10" t="str">
        <x:v>Vendas brutas — tabela original</x:v>
      </x:c>
      <x:c r="C7" s="10" t="str">
        <x:v>USD</x:v>
      </x:c>
      <x:c r="D7" s="17" t="n">
        <x:f>Premissas!F47</x:f>
        <x:v>140880000</x:v>
      </x:c>
      <x:c r="E7" s="1"/>
      <x:c r="F7" s="1"/>
      <x:c r="G7" s="1"/>
      <x:c r="H7" s="1"/>
      <x:c r="I7" s="1"/>
      <x:c r="J7" s="1"/>
      <x:c r="K7" s="1"/>
      <x:c r="L7" s="1"/>
      <x:c r="M7" s="1"/>
      <x:c r="N7" s="1"/>
      <x:c r="O7" s="1"/>
      <x:c r="P7" s="1"/>
    </x:row>
    <x:row r="8" ht="48" customHeight="1">
      <x:c r="A8" s="1"/>
      <x:c r="B8" s="10" t="str">
        <x:v>Terreno</x:v>
      </x:c>
      <x:c r="C8" s="10" t="str">
        <x:v>USD</x:v>
      </x:c>
      <x:c r="D8" s="17" t="n">
        <x:f>Premissas!C11</x:f>
        <x:v>16500000</x:v>
      </x:c>
      <x:c r="E8" s="1"/>
      <x:c r="F8" s="1"/>
      <x:c r="G8" s="1"/>
      <x:c r="H8" s="1"/>
      <x:c r="I8" s="1"/>
      <x:c r="J8" s="1"/>
      <x:c r="K8" s="1"/>
      <x:c r="L8" s="1"/>
      <x:c r="M8" s="1"/>
      <x:c r="N8" s="1"/>
      <x:c r="O8" s="1"/>
      <x:c r="P8" s="1"/>
    </x:row>
    <x:row r="9" ht="48" customHeight="1">
      <x:c r="A9" s="1"/>
      <x:c r="B9" s="10" t="str">
        <x:v>Implantação confirmada</x:v>
      </x:c>
      <x:c r="C9" s="10" t="str">
        <x:v>USD</x:v>
      </x:c>
      <x:c r="D9" s="17" t="n">
        <x:f>Premissas!C32</x:f>
        <x:v>33486663</x:v>
      </x:c>
      <x:c r="E9" s="1"/>
      <x:c r="F9" s="1"/>
      <x:c r="G9" s="1"/>
      <x:c r="H9" s="1"/>
      <x:c r="I9" s="1"/>
      <x:c r="J9" s="1"/>
      <x:c r="K9" s="1"/>
      <x:c r="L9" s="1"/>
      <x:c r="M9" s="1"/>
      <x:c r="N9" s="1"/>
      <x:c r="O9" s="1"/>
      <x:c r="P9" s="1"/>
    </x:row>
    <x:row r="10" ht="48" customHeight="1">
      <x:c r="A10" s="1"/>
      <x:c r="B10" s="10" t="str">
        <x:v>Terreno e implantação — total acumulado</x:v>
      </x:c>
      <x:c r="C10" s="10" t="str">
        <x:v>USD</x:v>
      </x:c>
      <x:c r="D10" s="17" t="n">
        <x:f>SUM(D8:D9)</x:f>
        <x:v>49986663</x:v>
      </x:c>
      <x:c r="E10" s="1"/>
      <x:c r="F10" s="1"/>
      <x:c r="G10" s="1"/>
      <x:c r="H10" s="1"/>
      <x:c r="I10" s="1"/>
      <x:c r="J10" s="1"/>
      <x:c r="K10" s="1"/>
      <x:c r="L10" s="1"/>
      <x:c r="M10" s="1"/>
      <x:c r="N10" s="1"/>
      <x:c r="O10" s="1"/>
      <x:c r="P10" s="1"/>
    </x:row>
    <x:row r="11" ht="48" customHeight="1">
      <x:c r="A11" s="1"/>
      <x:c r="B11" s="10"/>
      <x:c r="C11" s="10"/>
      <x:c r="D11" s="17"/>
      <x:c r="E11" s="1"/>
      <x:c r="F11" s="1"/>
      <x:c r="G11" s="1"/>
      <x:c r="H11" s="1"/>
      <x:c r="I11" s="1"/>
      <x:c r="J11" s="1"/>
      <x:c r="K11" s="1"/>
      <x:c r="L11" s="1"/>
      <x:c r="M11" s="1"/>
      <x:c r="N11" s="1"/>
      <x:c r="O11" s="1"/>
      <x:c r="P11" s="1"/>
    </x:row>
    <x:row r="12" ht="48" customHeight="1">
      <x:c r="A12" s="1"/>
      <x:c r="B12" s="10" t="str">
        <x:v>Marketing — separado do capital</x:v>
      </x:c>
      <x:c r="C12" s="10" t="str">
        <x:v>USD</x:v>
      </x:c>
      <x:c r="D12" s="17" t="n">
        <x:f>D7*Premissas!C15</x:f>
        <x:v>2113200</x:v>
      </x:c>
      <x:c r="E12" s="1"/>
      <x:c r="F12" s="1"/>
      <x:c r="G12" s="1"/>
      <x:c r="H12" s="1"/>
      <x:c r="I12" s="1"/>
      <x:c r="J12" s="1"/>
      <x:c r="K12" s="1"/>
      <x:c r="L12" s="1"/>
      <x:c r="M12" s="1"/>
      <x:c r="N12" s="1"/>
      <x:c r="O12" s="1"/>
      <x:c r="P12" s="1"/>
    </x:row>
    <x:row r="13" ht="48" customHeight="1">
      <x:c r="A13" s="1"/>
      <x:c r="B13" s="10"/>
      <x:c r="C13" s="10"/>
      <x:c r="D13" s="17"/>
      <x:c r="E13" s="1"/>
      <x:c r="F13" s="1"/>
      <x:c r="G13" s="1"/>
      <x:c r="H13" s="1"/>
      <x:c r="I13" s="1"/>
      <x:c r="J13" s="1"/>
      <x:c r="K13" s="1"/>
      <x:c r="L13" s="1"/>
      <x:c r="M13" s="1"/>
      <x:c r="N13" s="1"/>
      <x:c r="O13" s="1"/>
      <x:c r="P13" s="1"/>
    </x:row>
    <x:row r="14" ht="48" customHeight="1">
      <x:c r="A14" s="1"/>
      <x:c r="B14" s="10" t="str">
        <x:v>Vendas menos terreno e implantação</x:v>
      </x:c>
      <x:c r="C14" s="10" t="str">
        <x:v>USD</x:v>
      </x:c>
      <x:c r="D14" s="17" t="n">
        <x:f>D7-D10</x:f>
        <x:v>90893337</x:v>
      </x:c>
      <x:c r="E14" s="1"/>
      <x:c r="F14" s="1"/>
      <x:c r="G14" s="1"/>
      <x:c r="H14" s="1"/>
      <x:c r="I14" s="1"/>
      <x:c r="J14" s="1"/>
      <x:c r="K14" s="1"/>
      <x:c r="L14" s="1"/>
      <x:c r="M14" s="1"/>
      <x:c r="N14" s="1"/>
      <x:c r="O14" s="1"/>
      <x:c r="P14" s="1"/>
    </x:row>
    <x:row r="15" ht="48" customHeight="1">
      <x:c r="A15" s="1"/>
      <x:c r="B15" s="10" t="str">
        <x:v>Vendas menos capital e marketing</x:v>
      </x:c>
      <x:c r="C15" s="10" t="str">
        <x:v>USD</x:v>
      </x:c>
      <x:c r="D15" s="17" t="n">
        <x:f>D14-D12</x:f>
        <x:v>88780137</x:v>
      </x:c>
      <x:c r="E15" s="1"/>
      <x:c r="F15" s="1"/>
      <x:c r="G15" s="1"/>
      <x:c r="H15" s="1"/>
      <x:c r="I15" s="1"/>
      <x:c r="J15" s="1"/>
      <x:c r="K15" s="1"/>
      <x:c r="L15" s="1"/>
      <x:c r="M15" s="1"/>
      <x:c r="N15" s="1"/>
      <x:c r="O15" s="1"/>
      <x:c r="P15" s="1"/>
    </x:row>
    <x:row r="16" ht="48" customHeight="1">
      <x:c r="A16" s="1"/>
      <x:c r="B16" s="10"/>
      <x:c r="C16" s="10"/>
      <x:c r="D16" s="38"/>
      <x:c r="E16" s="1"/>
      <x:c r="F16" s="1"/>
      <x:c r="G16" s="1"/>
      <x:c r="H16" s="1"/>
      <x:c r="I16" s="1"/>
      <x:c r="J16" s="1"/>
      <x:c r="K16" s="1"/>
      <x:c r="L16" s="1"/>
      <x:c r="M16" s="1"/>
      <x:c r="N16" s="1"/>
      <x:c r="O16" s="1"/>
      <x:c r="P16" s="1"/>
    </x:row>
    <x:row r="17" ht="48" customHeight="1">
      <x:c r="A17" s="1"/>
      <x:c r="B17" s="10"/>
      <x:c r="C17" s="10"/>
      <x:c r="D17" s="38"/>
      <x:c r="E17" s="1"/>
      <x:c r="F17" s="1"/>
      <x:c r="G17" s="1"/>
      <x:c r="H17" s="1"/>
      <x:c r="I17" s="1"/>
      <x:c r="J17" s="1"/>
      <x:c r="K17" s="1"/>
      <x:c r="L17" s="1"/>
      <x:c r="M17" s="1"/>
      <x:c r="N17" s="1"/>
      <x:c r="O17" s="1"/>
      <x:c r="P17" s="1"/>
    </x:row>
    <x:row r="18" ht="48" customHeight="1">
      <x:c r="A18" s="1"/>
      <x:c r="B18" s="10" t="str">
        <x:v>Prazo da implantação</x:v>
      </x:c>
      <x:c r="C18" s="10" t="str">
        <x:v>meses</x:v>
      </x:c>
      <x:c r="D18" s="40" t="n">
        <x:v>36</x:v>
      </x:c>
      <x:c r="E18" s="1"/>
      <x:c r="F18" s="1"/>
      <x:c r="G18" s="1"/>
      <x:c r="H18" s="1"/>
      <x:c r="I18" s="1"/>
      <x:c r="J18" s="1"/>
      <x:c r="K18" s="1"/>
      <x:c r="L18" s="1"/>
      <x:c r="M18" s="1"/>
      <x:c r="N18" s="1"/>
      <x:c r="O18" s="1"/>
      <x:c r="P18" s="1"/>
    </x:row>
    <x:row r="19" ht="48" customHeight="1">
      <x:c r="A19" s="1"/>
      <x:c r="B19" s="10"/>
      <x:c r="C19" s="10"/>
      <x:c r="D19" s="38"/>
      <x:c r="E19" s="1"/>
      <x:c r="F19" s="1"/>
      <x:c r="G19" s="1"/>
      <x:c r="H19" s="1"/>
      <x:c r="I19" s="1"/>
      <x:c r="J19" s="1"/>
      <x:c r="K19" s="1"/>
      <x:c r="L19" s="1"/>
      <x:c r="M19" s="1"/>
      <x:c r="N19" s="1"/>
      <x:c r="O19" s="1"/>
      <x:c r="P19" s="1"/>
    </x:row>
    <x:row r="20" ht="48" customHeight="1">
      <x:c r="A20" s="1"/>
      <x:c r="B20" s="10"/>
      <x:c r="C20" s="10"/>
      <x:c r="D20" s="38"/>
      <x:c r="E20" s="1"/>
      <x:c r="F20" s="1"/>
      <x:c r="G20" s="1"/>
      <x:c r="H20" s="1"/>
      <x:c r="I20" s="1"/>
      <x:c r="J20" s="1"/>
      <x:c r="K20" s="1"/>
      <x:c r="L20" s="1"/>
      <x:c r="M20" s="1"/>
      <x:c r="N20" s="1"/>
      <x:c r="O20" s="1"/>
      <x:c r="P20" s="1"/>
    </x:row>
    <x:row r="21" ht="48" customHeight="1">
      <x:c r="A21" s="1"/>
      <x:c r="B21" s="10" t="str">
        <x:v>Os saldos acima são diferenças entre as parcelas identificadas. Demais despesas e tributos não são acrescentados automaticamente.</x:v>
      </x:c>
      <x:c r="C21" s="10"/>
      <x:c r="D21" s="38"/>
      <x:c r="E21" s="1"/>
      <x:c r="F21" s="1"/>
      <x:c r="G21" s="1"/>
      <x:c r="H21" s="1"/>
      <x:c r="I21" s="1"/>
      <x:c r="J21" s="1"/>
      <x:c r="K21" s="1"/>
      <x:c r="L21" s="1"/>
      <x:c r="M21" s="1"/>
      <x:c r="N21" s="1"/>
      <x:c r="O21" s="1"/>
      <x:c r="P21" s="1"/>
    </x:row>
    <x:row r="22" ht="48" customHeight="1">
      <x:c r="A22" s="1"/>
      <x:c r="B22" s="10"/>
      <x:c r="C22" s="10"/>
      <x:c r="D22" s="38"/>
      <x:c r="E22" s="1"/>
      <x:c r="F22" s="1"/>
      <x:c r="G22" s="1"/>
      <x:c r="H22" s="1"/>
      <x:c r="I22" s="1"/>
      <x:c r="J22" s="1"/>
      <x:c r="K22" s="1"/>
      <x:c r="L22" s="1"/>
      <x:c r="M22" s="1"/>
      <x:c r="N22" s="1"/>
      <x:c r="O22" s="1"/>
      <x:c r="P22" s="1"/>
    </x:row>
    <x:row r="23" ht="23" customHeight="1">
      <x:c r="A23" s="1"/>
      <x:c r="B23" s="1"/>
      <x:c r="C23" s="1"/>
      <x:c r="D23" s="14"/>
      <x:c r="E23" s="1"/>
      <x:c r="F23" s="1"/>
      <x:c r="G23" s="1"/>
      <x:c r="H23" s="1"/>
      <x:c r="I23" s="1"/>
      <x:c r="J23" s="1"/>
      <x:c r="K23" s="1"/>
      <x:c r="L23" s="1"/>
      <x:c r="M23" s="1"/>
      <x:c r="N23" s="1"/>
      <x:c r="O23" s="1"/>
      <x:c r="P23" s="1"/>
    </x:row>
    <x:row r="24" ht="23" customHeight="1">
      <x:c r="A24" s="1"/>
      <x:c r="B24" s="1"/>
      <x:c r="C24" s="1"/>
      <x:c r="D24" s="14"/>
      <x:c r="E24" s="1"/>
      <x:c r="F24" s="1"/>
      <x:c r="G24" s="1"/>
      <x:c r="H24" s="1"/>
      <x:c r="I24" s="1"/>
      <x:c r="J24" s="1"/>
      <x:c r="K24" s="1"/>
      <x:c r="L24" s="1"/>
      <x:c r="M24" s="1"/>
      <x:c r="N24" s="1"/>
      <x:c r="O24" s="1"/>
      <x:c r="P24" s="1"/>
    </x:row>
    <x:row r="25" ht="23" customHeight="1">
      <x:c r="A25" s="1"/>
      <x:c r="B25" s="1"/>
      <x:c r="C25" s="1"/>
      <x:c r="D25" s="14"/>
      <x:c r="E25" s="1"/>
      <x:c r="F25" s="1"/>
      <x:c r="G25" s="1"/>
      <x:c r="H25" s="1"/>
      <x:c r="I25" s="1"/>
      <x:c r="J25" s="1"/>
      <x:c r="K25" s="1"/>
      <x:c r="L25" s="1"/>
      <x:c r="M25" s="1"/>
      <x:c r="N25" s="1"/>
      <x:c r="O25" s="1"/>
      <x:c r="P25" s="1"/>
    </x:row>
    <x:row r="26" ht="64" customHeight="1">
      <x:c r="A26" s="1"/>
      <x:c r="B26" s="8"/>
      <x:c r="C26" s="8"/>
      <x:c r="D26" s="24"/>
      <x:c r="E26" s="1"/>
      <x:c r="F26" s="1"/>
      <x:c r="G26" s="1"/>
      <x:c r="H26" s="1"/>
      <x:c r="I26" s="1"/>
      <x:c r="J26" s="1"/>
      <x:c r="K26" s="1"/>
      <x:c r="L26" s="1"/>
      <x:c r="M26" s="1"/>
      <x:c r="N26" s="1"/>
      <x:c r="O26" s="1"/>
      <x:c r="P26" s="1"/>
    </x:row>
    <x:row r="27" ht="23" customHeight="1">
      <x:c r="A27" s="1"/>
      <x:c r="B27" s="1"/>
      <x:c r="C27" s="1"/>
      <x:c r="D27" s="14"/>
      <x:c r="E27" s="1"/>
      <x:c r="F27" s="1"/>
      <x:c r="G27" s="1"/>
      <x:c r="H27" s="1"/>
      <x:c r="I27" s="1"/>
      <x:c r="J27" s="1"/>
      <x:c r="K27" s="1"/>
      <x:c r="L27" s="1"/>
      <x:c r="M27" s="1"/>
      <x:c r="N27" s="1"/>
      <x:c r="O27" s="1"/>
      <x:c r="P27" s="1"/>
    </x:row>
    <x:row r="28" ht="23" customHeight="1">
      <x:c r="A28" s="1"/>
      <x:c r="B28" s="1"/>
      <x:c r="C28" s="1"/>
      <x:c r="D28" s="14"/>
      <x:c r="E28" s="1"/>
      <x:c r="F28" s="1"/>
      <x:c r="G28" s="1"/>
      <x:c r="H28" s="1"/>
      <x:c r="I28" s="1"/>
      <x:c r="J28" s="1"/>
      <x:c r="K28" s="1"/>
      <x:c r="L28" s="1"/>
      <x:c r="M28" s="1"/>
      <x:c r="N28" s="1"/>
      <x:c r="O28" s="1"/>
      <x:c r="P28" s="1"/>
    </x:row>
    <x:row r="29" ht="23" customHeight="1">
      <x:c r="A29" s="1"/>
      <x:c r="B29" s="1"/>
      <x:c r="C29" s="1"/>
      <x:c r="D29" s="14"/>
      <x:c r="E29" s="1"/>
      <x:c r="F29" s="1"/>
      <x:c r="G29" s="1"/>
      <x:c r="H29" s="1"/>
      <x:c r="I29" s="1"/>
      <x:c r="J29" s="1"/>
      <x:c r="K29" s="1"/>
      <x:c r="L29" s="1"/>
      <x:c r="M29" s="1"/>
      <x:c r="N29" s="1"/>
      <x:c r="O29" s="1"/>
      <x:c r="P29" s="1"/>
    </x:row>
    <x:row r="30" ht="23" customHeight="1">
      <x:c r="A30" s="1"/>
      <x:c r="B30" s="1"/>
      <x:c r="C30" s="1"/>
      <x:c r="D30" s="14"/>
      <x:c r="E30" s="1"/>
      <x:c r="F30" s="1"/>
      <x:c r="G30" s="1"/>
      <x:c r="H30" s="1"/>
      <x:c r="I30" s="1"/>
      <x:c r="J30" s="1"/>
      <x:c r="K30" s="1"/>
      <x:c r="L30" s="1"/>
      <x:c r="M30" s="1"/>
      <x:c r="N30" s="1"/>
      <x:c r="O30" s="1"/>
      <x:c r="P30" s="1"/>
    </x:row>
    <x:row r="31" ht="23" customHeight="1">
      <x:c r="A31" s="1"/>
      <x:c r="B31" s="1"/>
      <x:c r="C31" s="1"/>
      <x:c r="D31" s="1"/>
      <x:c r="E31" s="1"/>
      <x:c r="F31" s="1"/>
      <x:c r="G31" s="1"/>
      <x:c r="H31" s="1"/>
      <x:c r="I31" s="1"/>
      <x:c r="J31" s="1"/>
      <x:c r="K31" s="1"/>
      <x:c r="L31" s="1"/>
      <x:c r="M31" s="1"/>
      <x:c r="N31" s="1"/>
      <x:c r="O31" s="1"/>
      <x:c r="P31" s="1"/>
    </x:row>
    <x:row r="32" ht="23" customHeight="1">
      <x:c r="A32" s="1"/>
      <x:c r="B32" s="1"/>
      <x:c r="C32" s="1"/>
      <x:c r="D32" s="1"/>
      <x:c r="E32" s="1"/>
      <x:c r="F32" s="1"/>
      <x:c r="G32" s="1"/>
      <x:c r="H32" s="1"/>
      <x:c r="I32" s="1"/>
      <x:c r="J32" s="1"/>
      <x:c r="K32" s="1"/>
      <x:c r="L32" s="1"/>
      <x:c r="M32" s="1"/>
      <x:c r="N32" s="1"/>
      <x:c r="O32" s="1"/>
      <x:c r="P32" s="1"/>
    </x:row>
    <x:row r="33" ht="23" customHeight="1">
      <x:c r="A33" s="1"/>
      <x:c r="B33" s="1"/>
      <x:c r="C33" s="1"/>
      <x:c r="D33" s="1"/>
      <x:c r="E33" s="1"/>
      <x:c r="F33" s="1"/>
      <x:c r="G33" s="1"/>
      <x:c r="H33" s="1"/>
      <x:c r="I33" s="1"/>
      <x:c r="J33" s="1"/>
      <x:c r="K33" s="1"/>
      <x:c r="L33" s="1"/>
      <x:c r="M33" s="1"/>
      <x:c r="N33" s="1"/>
      <x:c r="O33" s="1"/>
      <x:c r="P33" s="1"/>
    </x:row>
    <x:row r="34" ht="23" customHeight="1">
      <x:c r="A34" s="1"/>
      <x:c r="B34" s="1"/>
      <x:c r="C34" s="1"/>
      <x:c r="D34" s="1"/>
      <x:c r="E34" s="1"/>
      <x:c r="F34" s="1"/>
      <x:c r="G34" s="1"/>
      <x:c r="H34" s="1"/>
      <x:c r="I34" s="1"/>
      <x:c r="J34" s="1"/>
      <x:c r="K34" s="1"/>
      <x:c r="L34" s="1"/>
      <x:c r="M34" s="1"/>
      <x:c r="N34" s="1"/>
      <x:c r="O34" s="1"/>
      <x:c r="P34" s="1"/>
    </x:row>
    <x:row r="35" ht="23" customHeight="1">
      <x:c r="A35" s="1"/>
      <x:c r="B35" s="1"/>
      <x:c r="C35" s="1"/>
      <x:c r="D35" s="1"/>
      <x:c r="E35" s="1"/>
      <x:c r="F35" s="1"/>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x:c r="C39" s="1"/>
      <x:c r="D39" s="1"/>
      <x:c r="E39" s="1"/>
      <x:c r="F39" s="1"/>
      <x:c r="G39" s="1"/>
      <x:c r="H39" s="1"/>
      <x:c r="I39" s="1"/>
      <x:c r="J39" s="1"/>
      <x:c r="K39" s="1"/>
      <x:c r="L39" s="1"/>
      <x:c r="M39" s="1"/>
      <x:c r="N39" s="1"/>
      <x:c r="O39" s="1"/>
      <x:c r="P39" s="1"/>
    </x:row>
    <x:row r="40" ht="64" customHeight="1">
      <x:c r="A40" s="1"/>
      <x:c r="B40" s="8"/>
      <x:c r="C40" s="8"/>
      <x:c r="D40" s="8"/>
      <x:c r="E40" s="8"/>
      <x:c r="F40" s="8"/>
      <x:c r="G40" s="1"/>
      <x:c r="H40" s="1"/>
      <x:c r="I40" s="1"/>
      <x:c r="J40" s="1"/>
      <x:c r="K40" s="1"/>
      <x:c r="L40" s="1"/>
      <x:c r="M40" s="1"/>
      <x:c r="N40" s="1"/>
      <x:c r="O40" s="1"/>
      <x:c r="P40" s="1"/>
    </x:row>
    <x:row r="41" ht="23" customHeight="1">
      <x:c r="A41" s="1"/>
      <x:c r="B41" s="1"/>
      <x:c r="C41" s="14"/>
      <x:c r="D41" s="14"/>
      <x:c r="E41" s="14"/>
      <x:c r="F41" s="14"/>
      <x:c r="G41" s="1"/>
      <x:c r="H41" s="1"/>
      <x:c r="I41" s="1"/>
      <x:c r="J41" s="1"/>
      <x:c r="K41" s="1"/>
      <x:c r="L41" s="1"/>
      <x:c r="M41" s="1"/>
      <x:c r="N41" s="1"/>
      <x:c r="O41" s="1"/>
      <x:c r="P41" s="1"/>
    </x:row>
    <x:row r="42" ht="23" customHeight="1">
      <x:c r="A42" s="1"/>
      <x:c r="B42" s="1"/>
      <x:c r="C42" s="14"/>
      <x:c r="D42" s="14"/>
      <x:c r="E42" s="14"/>
      <x:c r="F42" s="14"/>
      <x:c r="G42" s="1"/>
      <x:c r="H42" s="1"/>
      <x:c r="I42" s="1"/>
      <x:c r="J42" s="1"/>
      <x:c r="K42" s="1"/>
      <x:c r="L42" s="1"/>
      <x:c r="M42" s="1"/>
      <x:c r="N42" s="1"/>
      <x:c r="O42" s="1"/>
      <x:c r="P42" s="1"/>
    </x:row>
    <x:row r="43" ht="23" customHeight="1">
      <x:c r="A43" s="1"/>
      <x:c r="B43" s="1"/>
      <x:c r="C43" s="14"/>
      <x:c r="D43" s="14"/>
      <x:c r="E43" s="14"/>
      <x:c r="F43" s="14"/>
      <x:c r="G43" s="1"/>
      <x:c r="H43" s="1"/>
      <x:c r="I43" s="1"/>
      <x:c r="J43" s="1"/>
      <x:c r="K43" s="1"/>
      <x:c r="L43" s="1"/>
      <x:c r="M43" s="1"/>
      <x:c r="N43" s="1"/>
      <x:c r="O43" s="1"/>
      <x:c r="P43" s="1"/>
    </x:row>
    <x:row r="44" ht="23" customHeight="1">
      <x:c r="A44" s="1"/>
      <x:c r="B44" s="1"/>
      <x:c r="C44" s="14"/>
      <x:c r="D44" s="14"/>
      <x:c r="E44" s="14"/>
      <x:c r="F44" s="14"/>
      <x:c r="G44" s="1"/>
      <x:c r="H44" s="1"/>
      <x:c r="I44" s="1"/>
      <x:c r="J44" s="1"/>
      <x:c r="K44" s="1"/>
      <x:c r="L44" s="1"/>
      <x:c r="M44" s="1"/>
      <x:c r="N44" s="1"/>
      <x:c r="O44" s="1"/>
      <x:c r="P44" s="1"/>
    </x:row>
    <x:row r="45" ht="23" customHeight="1">
      <x:c r="A45" s="1"/>
      <x:c r="B45" s="1"/>
      <x:c r="C45" s="14"/>
      <x:c r="D45" s="14"/>
      <x:c r="E45" s="14"/>
      <x:c r="F45" s="14"/>
      <x:c r="G45" s="1"/>
      <x:c r="H45" s="1"/>
      <x:c r="I45" s="1"/>
      <x:c r="J45" s="1"/>
      <x:c r="K45" s="1"/>
      <x:c r="L45" s="1"/>
      <x:c r="M45" s="1"/>
      <x:c r="N45" s="1"/>
      <x:c r="O45" s="1"/>
      <x:c r="P45" s="1"/>
    </x:row>
    <x:row r="46" ht="23" customHeight="1">
      <x:c r="A46" s="1"/>
      <x:c r="B46" s="1"/>
      <x:c r="C46" s="14"/>
      <x:c r="D46" s="14"/>
      <x:c r="E46" s="14"/>
      <x:c r="F46" s="14"/>
      <x:c r="G46" s="1"/>
      <x:c r="H46" s="1"/>
      <x:c r="I46" s="1"/>
      <x:c r="J46" s="1"/>
      <x:c r="K46" s="1"/>
      <x:c r="L46" s="1"/>
      <x:c r="M46" s="1"/>
      <x:c r="N46" s="1"/>
      <x:c r="O46" s="1"/>
      <x:c r="P46" s="1"/>
    </x:row>
    <x:row r="47" ht="23" customHeight="1">
      <x:c r="A47" s="1"/>
      <x:c r="B47" s="1"/>
      <x:c r="C47" s="14"/>
      <x:c r="D47" s="14"/>
      <x:c r="E47" s="14"/>
      <x:c r="F47" s="14"/>
      <x:c r="G47" s="1"/>
      <x:c r="H47" s="1"/>
      <x:c r="I47" s="1"/>
      <x:c r="J47" s="1"/>
      <x:c r="K47" s="1"/>
      <x:c r="L47" s="1"/>
      <x:c r="M47" s="1"/>
      <x:c r="N47" s="1"/>
      <x:c r="O47" s="1"/>
      <x:c r="P47" s="1"/>
    </x:row>
    <x:row r="48" ht="23" customHeight="1">
      <x:c r="A48" s="1"/>
      <x:c r="B48" s="1"/>
      <x:c r="C48" s="14"/>
      <x:c r="D48" s="14"/>
      <x:c r="E48" s="14"/>
      <x:c r="F48" s="14"/>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7547636e23be4c1c"/>
</x:worksheet>
</file>

<file path=xl/worksheets/sheet3.xml><?xml version="1.0" encoding="utf-8"?>
<x:worksheet xmlns:x="http://schemas.openxmlformats.org/spreadsheetml/2006/main">
  <x:sheetViews>
    <x:sheetView showGridLines="0" workbookViewId="0"/>
  </x:sheetViews>
  <x:sheetFormatPr defaultRowHeight="15"/>
  <x:cols>
    <x:col min="1" max="1" width="3" hidden="0" customWidth="1"/>
    <x:col min="2" max="2" width="54" hidden="0" customWidth="1"/>
    <x:col min="3" max="3" width="15" hidden="0" customWidth="1"/>
    <x:col min="4" max="4" width="9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Premissas</x:v>
      </x:c>
      <x:c r="C2" s="32"/>
      <x:c r="D2" s="32"/>
      <x:c r="E2" s="32"/>
      <x:c r="F2" s="32"/>
      <x:c r="G2" s="32"/>
      <x:c r="H2" s="32"/>
      <x:c r="I2" s="1"/>
      <x:c r="J2" s="1"/>
      <x:c r="K2" s="1"/>
      <x:c r="L2" s="1"/>
      <x:c r="M2" s="1"/>
      <x:c r="N2" s="1"/>
      <x:c r="O2" s="1"/>
      <x:c r="P2" s="1"/>
    </x:row>
    <x:row r="3" ht="26" customHeight="1">
      <x:c r="A3" s="1"/>
      <x:c r="B3" s="34" t="str">
        <x:v>Gislaine Araujo Silva | 03/11/2026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Premissa</x:v>
      </x:c>
      <x:c r="C6" s="8" t="str">
        <x:v>Valor ativo</x:v>
      </x:c>
      <x:c r="D6" s="8" t="str">
        <x:v>Base e aplicação</x:v>
      </x:c>
      <x:c r="E6" s="1"/>
      <x:c r="F6" s="1"/>
      <x:c r="G6" s="1"/>
      <x:c r="H6" s="1"/>
      <x:c r="I6" s="1"/>
      <x:c r="J6" s="1"/>
      <x:c r="K6" s="1"/>
      <x:c r="L6" s="1"/>
      <x:c r="M6" s="1"/>
      <x:c r="N6" s="1"/>
      <x:c r="O6" s="1"/>
      <x:c r="P6" s="1"/>
    </x:row>
    <x:row r="7" ht="62" customHeight="1">
      <x:c r="A7" s="1"/>
      <x:c r="B7" s="10" t="str">
        <x:v>Complementos: cenário1baixo,2central,3alto</x:v>
      </x:c>
      <x:c r="C7" s="35" t="n">
        <x:v>2</x:v>
      </x:c>
      <x:c r="D7" s="10" t="str">
        <x:v>Varia somente complementos; base recebida preservada; não intervalo estatístico</x:v>
      </x:c>
      <x:c r="E7" s="1"/>
      <x:c r="F7" s="1"/>
      <x:c r="G7" s="1"/>
      <x:c r="H7" s="1"/>
      <x:c r="I7" s="1"/>
      <x:c r="J7" s="1"/>
      <x:c r="K7" s="1"/>
      <x:c r="L7" s="1"/>
      <x:c r="M7" s="1"/>
      <x:c r="N7" s="1"/>
      <x:c r="O7" s="1"/>
      <x:c r="P7" s="1"/>
    </x:row>
    <x:row r="8" ht="62" customHeight="1">
      <x:c r="A8" s="1"/>
      <x:c r="B8" s="10" t="str">
        <x:v>Preços de venda da tabela original</x:v>
      </x:c>
      <x:c r="C8" s="35" t="n">
        <x:v>4</x:v>
      </x:c>
      <x:c r="D8" s="10" t="str">
        <x:v>US$ 195, US$ 325 e US$ 475 por m², respectivamente para 700, 1.000 e 1.500 m².</x:v>
      </x:c>
      <x:c r="E8" s="1"/>
      <x:c r="F8" s="1"/>
      <x:c r="G8" s="1"/>
      <x:c r="H8" s="1"/>
      <x:c r="I8" s="1"/>
      <x:c r="J8" s="1"/>
      <x:c r="K8" s="1"/>
      <x:c r="L8" s="1"/>
      <x:c r="M8" s="1"/>
      <x:c r="N8" s="1"/>
      <x:c r="O8" s="1"/>
      <x:c r="P8" s="1"/>
    </x:row>
    <x:row r="9" ht="62" customHeight="1">
      <x:c r="A9" s="1"/>
      <x:c r="B9" s="10" t="str">
        <x:v>BRL por USD - base recebida</x:v>
      </x:c>
      <x:c r="C9" s="36" t="n">
        <x:v>5.4</x:v>
      </x:c>
      <x:c r="D9" s="10" t="str">
        <x:v>Taxa histórica de apresentação; BCP30out=5,4043</x:v>
      </x:c>
      <x:c r="E9" s="1"/>
      <x:c r="F9" s="1"/>
      <x:c r="G9" s="1"/>
      <x:c r="H9" s="1"/>
      <x:c r="I9" s="1"/>
      <x:c r="J9" s="1"/>
      <x:c r="K9" s="1"/>
      <x:c r="L9" s="1"/>
      <x:c r="M9" s="1"/>
      <x:c r="N9" s="1"/>
      <x:c r="O9" s="1"/>
      <x:c r="P9" s="1"/>
    </x:row>
    <x:row r="10" ht="62" customHeight="1">
      <x:c r="A10" s="1"/>
      <x:c r="B10" s="10" t="str">
        <x:v>PYG por USD - BCP30/10/2026</x:v>
      </x:c>
      <x:c r="C10" s="36" t="n">
        <x:v>5944.76</x:v>
      </x:c>
      <x:c r="D10" s="10" t="str">
        <x:v>Cotação referencial, não contratada</x:v>
      </x:c>
      <x:c r="E10" s="1"/>
      <x:c r="F10" s="1"/>
      <x:c r="G10" s="1"/>
      <x:c r="H10" s="1"/>
      <x:c r="I10" s="1"/>
      <x:c r="J10" s="1"/>
      <x:c r="K10" s="1"/>
      <x:c r="L10" s="1"/>
      <x:c r="M10" s="1"/>
      <x:c r="N10" s="1"/>
      <x:c r="O10" s="1"/>
      <x:c r="P10" s="1"/>
    </x:row>
    <x:row r="11" ht="62" customHeight="1">
      <x:c r="A11" s="1"/>
      <x:c r="B11" s="10" t="str">
        <x:v>Aquisição do terreno</x:v>
      </x:c>
      <x:c r="C11" s="35" t="n">
        <x:v>16500000</x:v>
      </x:c>
      <x:c r="D11" s="10" t="str">
        <x:v>Inclui intermediação informada; sem nova comissão de compra</x:v>
      </x:c>
      <x:c r="E11" s="1"/>
      <x:c r="F11" s="1"/>
      <x:c r="G11" s="1"/>
      <x:c r="H11" s="1"/>
      <x:c r="I11" s="1"/>
      <x:c r="J11" s="1"/>
      <x:c r="K11" s="1"/>
      <x:c r="L11" s="1"/>
      <x:c r="M11" s="1"/>
      <x:c r="N11" s="1"/>
      <x:c r="O11" s="1"/>
      <x:c r="P11" s="1"/>
    </x:row>
    <x:row r="12" ht="62" customHeight="1">
      <x:c r="A12" s="1"/>
      <x:c r="B12" s="10" t="str">
        <x:v>Terreno e implantação — total acumulado confirmado</x:v>
      </x:c>
      <x:c r="C12" s="35" t="n">
        <x:v>49986663</x:v>
      </x:c>
      <x:c r="D12" s="10" t="str">
        <x:v>Definição expressa de Gislaine: total acumulado de terreno + implantação. Não adicionar novamente obras, contingências ou fase final.</x:v>
      </x:c>
      <x:c r="E12" s="1"/>
      <x:c r="F12" s="1"/>
      <x:c r="G12" s="1"/>
      <x:c r="H12" s="1"/>
      <x:c r="I12" s="1"/>
      <x:c r="J12" s="1"/>
      <x:c r="K12" s="1"/>
      <x:c r="L12" s="1"/>
      <x:c r="M12" s="1"/>
      <x:c r="N12" s="1"/>
      <x:c r="O12" s="1"/>
      <x:c r="P12" s="1"/>
    </x:row>
    <x:row r="13" ht="62" customHeight="1">
      <x:c r="A13" s="1"/>
      <x:c r="B13" s="10" t="str">
        <x:v>Contingência sobre obras e complementos</x:v>
      </x:c>
      <x:c r="C13" s="37" t="n">
        <x:v>0.15</x:v>
      </x:c>
      <x:c r="D13" s="10" t="str">
        <x:v>Parâmetro do estudo recebido; não acrescentado ao capital confirmado. Não equivale a custo efetivo zero.</x:v>
      </x:c>
      <x:c r="E13" s="1"/>
      <x:c r="F13" s="1"/>
      <x:c r="G13" s="1"/>
      <x:c r="H13" s="1"/>
      <x:c r="I13" s="1"/>
      <x:c r="J13" s="1"/>
      <x:c r="K13" s="1"/>
      <x:c r="L13" s="1"/>
      <x:c r="M13" s="1"/>
      <x:c r="N13" s="1"/>
      <x:c r="O13" s="1"/>
      <x:c r="P13" s="1"/>
    </x:row>
    <x:row r="14" ht="62" customHeight="1">
      <x:c r="A14" s="1"/>
      <x:c r="B14" s="10" t="str">
        <x:v>Comissão da imobiliária sobre contratos</x:v>
      </x:c>
      <x:c r="C14" s="37" t="n">
        <x:v>0</x:v>
      </x:c>
      <x:c r="D14" s="10" t="str">
        <x:v>Comissão retirada da simulação conforme determinação de Gislaine em 03/11/2026.</x:v>
      </x:c>
      <x:c r="E14" s="1"/>
      <x:c r="F14" s="1"/>
      <x:c r="G14" s="1"/>
      <x:c r="H14" s="1"/>
      <x:c r="I14" s="1"/>
      <x:c r="J14" s="1"/>
      <x:c r="K14" s="1"/>
      <x:c r="L14" s="1"/>
      <x:c r="M14" s="1"/>
      <x:c r="N14" s="1"/>
      <x:c r="O14" s="1"/>
      <x:c r="P14" s="1"/>
    </x:row>
    <x:row r="15" ht="62" customHeight="1">
      <x:c r="A15" s="1"/>
      <x:c r="B15" s="10" t="str">
        <x:v>Marketing sobre contratos</x:v>
      </x:c>
      <x:c r="C15" s="37" t="n">
        <x:v>0.015</x:v>
      </x:c>
      <x:c r="D15" s="10" t="str">
        <x:v>Hipótese gerencial; diferente de comissão</x:v>
      </x:c>
      <x:c r="E15" s="1"/>
      <x:c r="F15" s="1"/>
      <x:c r="G15" s="1"/>
      <x:c r="H15" s="1"/>
      <x:c r="I15" s="1"/>
      <x:c r="J15" s="1"/>
      <x:c r="K15" s="1"/>
      <x:c r="L15" s="1"/>
      <x:c r="M15" s="1"/>
      <x:c r="N15" s="1"/>
      <x:c r="O15" s="1"/>
      <x:c r="P15" s="1"/>
    </x:row>
    <x:row r="16" ht="62" customHeight="1">
      <x:c r="A16" s="1"/>
      <x:c r="B16" s="10" t="str">
        <x:v>IVA efetivo antes de crédito</x:v>
      </x:c>
      <x:c r="C16" s="37" t="n">
        <x:v>0.015</x:v>
      </x:c>
      <x:c r="D16" s="10" t="str">
        <x:v>Parâmetro do estudo recebido; não acrescentado ao capital confirmado. Não equivale a custo efetivo zero.</x:v>
      </x:c>
      <x:c r="E16" s="1"/>
      <x:c r="F16" s="1"/>
      <x:c r="G16" s="1"/>
      <x:c r="H16" s="1"/>
      <x:c r="I16" s="1"/>
      <x:c r="J16" s="1"/>
      <x:c r="K16" s="1"/>
      <x:c r="L16" s="1"/>
      <x:c r="M16" s="1"/>
      <x:c r="N16" s="1"/>
      <x:c r="O16" s="1"/>
      <x:c r="P16" s="1"/>
    </x:row>
    <x:row r="17" ht="62" customHeight="1">
      <x:c r="A17" s="1"/>
      <x:c r="B17" s="10" t="str">
        <x:v>Provisão IRE sobre resultado positivo</x:v>
      </x:c>
      <x:c r="C17" s="37" t="n">
        <x:v>0.1</x:v>
      </x:c>
      <x:c r="D17" s="10" t="str">
        <x:v>Parâmetro do estudo recebido; não acrescentado ao capital confirmado. Não equivale a custo efetivo zero.</x:v>
      </x:c>
      <x:c r="E17" s="1"/>
      <x:c r="F17" s="1"/>
      <x:c r="G17" s="1"/>
      <x:c r="H17" s="1"/>
      <x:c r="I17" s="1"/>
      <x:c r="J17" s="1"/>
      <x:c r="K17" s="1"/>
      <x:c r="L17" s="1"/>
      <x:c r="M17" s="1"/>
      <x:c r="N17" s="1"/>
      <x:c r="O17" s="1"/>
      <x:c r="P17" s="1"/>
    </x:row>
    <x:row r="18" ht="62" customHeight="1">
      <x:c r="A18" s="1"/>
      <x:c r="B18" s="10" t="str">
        <x:v>Mês inicial de contratação de vendas</x:v>
      </x:c>
      <x:c r="C18" s="35" t="n">
        <x:v>19</x:v>
      </x:c>
      <x:c r="D18" s="10" t="str">
        <x:v>Hipótese condicionada às aprovações; sem vendas reais</x:v>
      </x:c>
      <x:c r="E18" s="1"/>
      <x:c r="F18" s="1"/>
      <x:c r="G18" s="1"/>
      <x:c r="H18" s="1"/>
      <x:c r="I18" s="1"/>
      <x:c r="J18" s="1"/>
      <x:c r="K18" s="1"/>
      <x:c r="L18" s="1"/>
      <x:c r="M18" s="1"/>
      <x:c r="N18" s="1"/>
      <x:c r="O18" s="1"/>
      <x:c r="P18" s="1"/>
    </x:row>
    <x:row r="19" ht="62" customHeight="1">
      <x:c r="A19" s="1"/>
      <x:c r="B19" s="10" t="str">
        <x:v>Meses para contratar360lotes</x:v>
      </x:c>
      <x:c r="C19" s="35" t="n">
        <x:v>42</x:v>
      </x:c>
      <x:c r="D19" s="10" t="str">
        <x:v>8,57lotes equivalentes/mês; não absorção comprovada</x:v>
      </x:c>
      <x:c r="E19" s="1"/>
      <x:c r="F19" s="1"/>
      <x:c r="G19" s="1"/>
      <x:c r="H19" s="1"/>
      <x:c r="I19" s="1"/>
      <x:c r="J19" s="1"/>
      <x:c r="K19" s="1"/>
      <x:c r="L19" s="1"/>
      <x:c r="M19" s="1"/>
      <x:c r="N19" s="1"/>
      <x:c r="O19" s="1"/>
      <x:c r="P19" s="1"/>
    </x:row>
    <x:row r="20" ht="62" customHeight="1">
      <x:c r="A20" s="1"/>
      <x:c r="B20" s="10" t="str">
        <x:v>Entrada recebida no mês do contrato</x:v>
      </x:c>
      <x:c r="C20" s="37" t="n">
        <x:v>0.3</x:v>
      </x:c>
      <x:c r="D20" s="10" t="str">
        <x:v>Hipótese comercial; sem juros, sem antecipação</x:v>
      </x:c>
      <x:c r="E20" s="1"/>
      <x:c r="F20" s="1"/>
      <x:c r="G20" s="1"/>
      <x:c r="H20" s="1"/>
      <x:c r="I20" s="1"/>
      <x:c r="J20" s="1"/>
      <x:c r="K20" s="1"/>
      <x:c r="L20" s="1"/>
      <x:c r="M20" s="1"/>
      <x:c r="N20" s="1"/>
      <x:c r="O20" s="1"/>
      <x:c r="P20" s="1"/>
    </x:row>
    <x:row r="21" ht="62" customHeight="1">
      <x:c r="A21" s="1"/>
      <x:c r="B21" s="10" t="str">
        <x:v>Prazo do saldo em meses</x:v>
      </x:c>
      <x:c r="C21" s="35" t="n">
        <x:v>36</x:v>
      </x:c>
      <x:c r="D21" s="10" t="str">
        <x:v>Parcelas iniciam no mês seguinte; fluxo até mês96</x:v>
      </x:c>
      <x:c r="E21" s="1"/>
      <x:c r="F21" s="1"/>
      <x:c r="G21" s="1"/>
      <x:c r="H21" s="1"/>
      <x:c r="I21" s="1"/>
      <x:c r="J21" s="1"/>
      <x:c r="K21" s="1"/>
      <x:c r="L21" s="1"/>
      <x:c r="M21" s="1"/>
      <x:c r="N21" s="1"/>
      <x:c r="O21" s="1"/>
      <x:c r="P21" s="1"/>
    </x:row>
    <x:row r="22" ht="62" customHeight="1">
      <x:c r="A22" s="1"/>
      <x:c r="B22" s="10" t="str">
        <x:v>Operação de áreas comuns - meses19a60</x:v>
      </x:c>
      <x:c r="C22" s="35" t="n">
        <x:v>40000</x:v>
      </x:c>
      <x:c r="D22" s="10" t="str">
        <x:v>Parâmetro do estudo recebido; não acrescentado ao capital confirmado. Não equivale a custo efetivo zero.</x:v>
      </x:c>
      <x:c r="E22" s="1"/>
      <x:c r="F22" s="1"/>
      <x:c r="G22" s="1"/>
      <x:c r="H22" s="1"/>
      <x:c r="I22" s="1"/>
      <x:c r="J22" s="1"/>
      <x:c r="K22" s="1"/>
      <x:c r="L22" s="1"/>
      <x:c r="M22" s="1"/>
      <x:c r="N22" s="1"/>
      <x:c r="O22" s="1"/>
      <x:c r="P22" s="1"/>
    </x:row>
    <x:row r="23" ht="62" customHeight="1">
      <x:c r="A23" s="1"/>
      <x:c r="B23" s="10" t="str">
        <x:v>Registro da aquisição</x:v>
      </x:c>
      <x:c r="C23" s="37" t="n">
        <x:v>0.0085</x:v>
      </x:c>
      <x:c r="D23" s="10" t="str">
        <x:v>Parâmetro do estudo recebido; não acrescentado ao capital confirmado. Não equivale a custo efetivo zero.</x:v>
      </x:c>
      <x:c r="E23" s="1"/>
      <x:c r="F23" s="1"/>
      <x:c r="G23" s="1"/>
      <x:c r="H23" s="1"/>
      <x:c r="I23" s="1"/>
      <x:c r="J23" s="1"/>
      <x:c r="K23" s="1"/>
      <x:c r="L23" s="1"/>
      <x:c r="M23" s="1"/>
      <x:c r="N23" s="1"/>
      <x:c r="O23" s="1"/>
      <x:c r="P23" s="1"/>
    </x:row>
    <x:row r="24" ht="62" customHeight="1">
      <x:c r="A24" s="1"/>
      <x:c r="B24" s="10" t="str">
        <x:v>Notário da aquisição</x:v>
      </x:c>
      <x:c r="C24" s="37" t="n">
        <x:v>0.0075</x:v>
      </x:c>
      <x:c r="D24" s="10" t="str">
        <x:v>Parâmetro do estudo recebido; não acrescentado ao capital confirmado. Não equivale a custo efetivo zero.</x:v>
      </x:c>
      <x:c r="E24" s="1"/>
      <x:c r="F24" s="1"/>
      <x:c r="G24" s="1"/>
      <x:c r="H24" s="1"/>
      <x:c r="I24" s="1"/>
      <x:c r="J24" s="1"/>
      <x:c r="K24" s="1"/>
      <x:c r="L24" s="1"/>
      <x:c r="M24" s="1"/>
      <x:c r="N24" s="1"/>
      <x:c r="O24" s="1"/>
      <x:c r="P24" s="1"/>
    </x:row>
    <x:row r="25" ht="62" customHeight="1">
      <x:c r="A25" s="1"/>
      <x:c r="B25" s="10" t="str">
        <x:v>Avaliação fiscal / aquisição - hipótese</x:v>
      </x:c>
      <x:c r="C25" s="37" t="n">
        <x:v>0.25</x:v>
      </x:c>
      <x:c r="D25" s="10" t="str">
        <x:v>Parâmetro do estudo recebido; não acrescentado ao capital confirmado. Não equivale a custo efetivo zero.</x:v>
      </x:c>
      <x:c r="E25" s="1"/>
      <x:c r="F25" s="1"/>
      <x:c r="G25" s="1"/>
      <x:c r="H25" s="1"/>
      <x:c r="I25" s="1"/>
      <x:c r="J25" s="1"/>
      <x:c r="K25" s="1"/>
      <x:c r="L25" s="1"/>
      <x:c r="M25" s="1"/>
      <x:c r="N25" s="1"/>
      <x:c r="O25" s="1"/>
      <x:c r="P25" s="1"/>
    </x:row>
    <x:row r="26" ht="62" customHeight="1">
      <x:c r="A26" s="1"/>
      <x:c r="B26" s="10" t="str">
        <x:v>Imobiliário anual / avaliação fiscal</x:v>
      </x:c>
      <x:c r="C26" s="37" t="n">
        <x:v>0.01</x:v>
      </x:c>
      <x:c r="D26" s="10" t="str">
        <x:v>Parâmetro do estudo recebido; não acrescentado ao capital confirmado. Não equivale a custo efetivo zero.</x:v>
      </x:c>
      <x:c r="E26" s="1"/>
      <x:c r="F26" s="1"/>
      <x:c r="G26" s="1"/>
      <x:c r="H26" s="1"/>
      <x:c r="I26" s="1"/>
      <x:c r="J26" s="1"/>
      <x:c r="K26" s="1"/>
      <x:c r="L26" s="1"/>
      <x:c r="M26" s="1"/>
      <x:c r="N26" s="1"/>
      <x:c r="O26" s="1"/>
      <x:c r="P26" s="1"/>
    </x:row>
    <x:row r="27" ht="62" customHeight="1">
      <x:c r="A27" s="1"/>
      <x:c r="B27" s="10" t="str">
        <x:v>Provisão financeira</x:v>
      </x:c>
      <x:c r="C27" s="35" t="n">
        <x:v>1500000</x:v>
      </x:c>
      <x:c r="D27" s="10" t="str">
        <x:v>Parâmetro do estudo recebido; não acrescentado ao capital confirmado. Não equivale a custo efetivo zero.</x:v>
      </x:c>
      <x:c r="E27" s="1"/>
      <x:c r="F27" s="1"/>
      <x:c r="G27" s="1"/>
      <x:c r="H27" s="1"/>
      <x:c r="I27" s="1"/>
      <x:c r="J27" s="1"/>
      <x:c r="K27" s="1"/>
      <x:c r="L27" s="1"/>
      <x:c r="M27" s="1"/>
      <x:c r="N27" s="1"/>
      <x:c r="O27" s="1"/>
      <x:c r="P27" s="1"/>
    </x:row>
    <x:row r="28" ht="62" customHeight="1">
      <x:c r="A28" s="1"/>
      <x:c r="B28" s="10" t="str">
        <x:v>Escalada anual de custos</x:v>
      </x:c>
      <x:c r="C28" s="37" t="n">
        <x:v>0.04</x:v>
      </x:c>
      <x:c r="D28" s="10" t="str">
        <x:v>Parâmetro do estudo recebido; não acrescentado ao capital confirmado. Não equivale a custo efetivo zero.</x:v>
      </x:c>
      <x:c r="E28" s="1"/>
      <x:c r="F28" s="1"/>
      <x:c r="G28" s="1"/>
      <x:c r="H28" s="1"/>
      <x:c r="I28" s="1"/>
      <x:c r="J28" s="1"/>
      <x:c r="K28" s="1"/>
      <x:c r="L28" s="1"/>
      <x:c r="M28" s="1"/>
      <x:c r="N28" s="1"/>
      <x:c r="O28" s="1"/>
      <x:c r="P28" s="1"/>
    </x:row>
    <x:row r="29" ht="62" customHeight="1">
      <x:c r="A29" s="1"/>
      <x:c r="B29" s="10" t="str">
        <x:v>Fim da primeira etapa (mês)</x:v>
      </x:c>
      <x:c r="C29" s="35" t="n">
        <x:v>36</x:v>
      </x:c>
      <x:c r="D29" s="10" t="str">
        <x:v>Projeção de três anos informada por Gislaine. Distribuição das linhas mantida conforme arquivo recebido.</x:v>
      </x:c>
      <x:c r="E29" s="1"/>
      <x:c r="F29" s="1"/>
      <x:c r="G29" s="1"/>
      <x:c r="H29" s="1"/>
      <x:c r="I29" s="1"/>
      <x:c r="J29" s="1"/>
      <x:c r="K29" s="1"/>
      <x:c r="L29" s="1"/>
      <x:c r="M29" s="1"/>
      <x:c r="N29" s="1"/>
      <x:c r="O29" s="1"/>
      <x:c r="P29" s="1"/>
    </x:row>
    <x:row r="30" ht="62" customHeight="1">
      <x:c r="A30" s="1"/>
      <x:c r="B30" s="10" t="str">
        <x:v>Fim das obras (mês)</x:v>
      </x:c>
      <x:c r="C30" s="35" t="n">
        <x:v>48</x:v>
      </x:c>
      <x:c r="D30" s="10" t="str">
        <x:v>Hipótese de cronograma, condicionada à engenharia</x:v>
      </x:c>
      <x:c r="E30" s="1"/>
      <x:c r="F30" s="1"/>
      <x:c r="G30" s="1"/>
      <x:c r="H30" s="1"/>
      <x:c r="I30" s="1"/>
      <x:c r="J30" s="1"/>
      <x:c r="K30" s="1"/>
      <x:c r="L30" s="1"/>
      <x:c r="M30" s="1"/>
      <x:c r="N30" s="1"/>
      <x:c r="O30" s="1"/>
      <x:c r="P30" s="1"/>
    </x:row>
    <x:row r="31" ht="62" customHeight="1">
      <x:c r="A31" s="1"/>
      <x:c r="B31" s="10" t="str">
        <x:v>Fim da operação custeada (mês)</x:v>
      </x:c>
      <x:c r="C31" s="35" t="n">
        <x:v>60</x:v>
      </x:c>
      <x:c r="D31" s="10" t="str">
        <x:v>Após60, operação pressuposta coberta por condomínio; validar</x:v>
      </x:c>
      <x:c r="E31" s="1"/>
      <x:c r="F31" s="1"/>
      <x:c r="G31" s="1"/>
      <x:c r="H31" s="1"/>
      <x:c r="I31" s="1"/>
      <x:c r="J31" s="1"/>
      <x:c r="K31" s="1"/>
      <x:c r="L31" s="1"/>
      <x:c r="M31" s="1"/>
      <x:c r="N31" s="1"/>
      <x:c r="O31" s="1"/>
      <x:c r="P31" s="1"/>
    </x:row>
    <x:row r="32" ht="23" customHeight="1">
      <x:c r="A32" s="1"/>
      <x:c r="B32" s="1" t="str">
        <x:v>Implantação confirmada</x:v>
      </x:c>
      <x:c r="C32" s="1" t="n">
        <x:f>C12-C11</x:f>
        <x:v>33486663</x:v>
      </x:c>
      <x:c r="D32" s="1" t="str">
        <x:v>Saldo do total confirmado após o terreno; sem rateio inventado entre os itens.</x:v>
      </x:c>
      <x:c r="E32" s="1"/>
      <x:c r="F32" s="1"/>
      <x:c r="G32" s="1"/>
      <x:c r="H32" s="1"/>
      <x:c r="I32" s="1"/>
      <x:c r="J32" s="1"/>
      <x:c r="K32" s="1"/>
      <x:c r="L32" s="1"/>
      <x:c r="M32" s="1"/>
      <x:c r="N32" s="1"/>
      <x:c r="O32" s="1"/>
      <x:c r="P32" s="1"/>
    </x:row>
    <x:row r="33" ht="23" customHeight="1">
      <x:c r="A33" s="1"/>
      <x:c r="B33" s="1"/>
      <x:c r="C33" s="1"/>
      <x:c r="D33" s="1"/>
      <x:c r="E33" s="1"/>
      <x:c r="F33" s="1"/>
      <x:c r="G33" s="1"/>
      <x:c r="H33" s="1"/>
      <x:c r="I33" s="1"/>
      <x:c r="J33" s="1"/>
      <x:c r="K33" s="1"/>
      <x:c r="L33" s="1"/>
      <x:c r="M33" s="1"/>
      <x:c r="N33" s="1"/>
      <x:c r="O33" s="1"/>
      <x:c r="P33" s="1"/>
    </x:row>
    <x:row r="34" ht="23" customHeight="1">
      <x:c r="A34" s="1"/>
      <x:c r="B34" s="1"/>
      <x:c r="C34" s="1"/>
      <x:c r="D34" s="1"/>
      <x:c r="E34" s="1"/>
      <x:c r="F34" s="1"/>
      <x:c r="G34" s="1"/>
      <x:c r="H34" s="1"/>
      <x:c r="I34" s="1"/>
      <x:c r="J34" s="1"/>
      <x:c r="K34" s="1"/>
      <x:c r="L34" s="1"/>
      <x:c r="M34" s="1"/>
      <x:c r="N34" s="1"/>
      <x:c r="O34" s="1"/>
      <x:c r="P34" s="1"/>
    </x:row>
    <x:row r="35" ht="64" customHeight="1">
      <x:c r="A35" s="1"/>
      <x:c r="B35" s="8" t="str">
        <x:v>Preço USD/m² por coleção</x:v>
      </x:c>
      <x:c r="C35" s="8" t="str">
        <x:v>700m²</x:v>
      </x:c>
      <x:c r="D35" s="8" t="str">
        <x:v>1000m²</x:v>
      </x:c>
      <x:c r="E35" s="8" t="str">
        <x:v>1500m²</x:v>
      </x:c>
      <x:c r="F35" s="1"/>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t="str">
        <x:v>Original recebido</x:v>
      </x:c>
      <x:c r="C39" s="1" t="n">
        <x:v>195</x:v>
      </x:c>
      <x:c r="D39" s="1" t="n">
        <x:v>325</x:v>
      </x:c>
      <x:c r="E39" s="1" t="n">
        <x:v>475</x:v>
      </x:c>
      <x:c r="F39" s="1"/>
      <x:c r="G39" s="1"/>
      <x:c r="H39" s="1"/>
      <x:c r="I39" s="1"/>
      <x:c r="J39" s="1"/>
      <x:c r="K39" s="1"/>
      <x:c r="L39" s="1"/>
      <x:c r="M39" s="1"/>
      <x:c r="N39" s="1"/>
      <x:c r="O39" s="1"/>
      <x:c r="P39" s="1"/>
    </x:row>
    <x:row r="40" ht="23" customHeight="1">
      <x:c r="A40" s="1"/>
      <x:c r="B40" s="1"/>
      <x:c r="C40" s="1"/>
      <x:c r="D40" s="1"/>
      <x:c r="E40" s="1"/>
      <x:c r="F40" s="1"/>
      <x:c r="G40" s="1"/>
      <x:c r="H40" s="1"/>
      <x:c r="I40" s="1"/>
      <x:c r="J40" s="1"/>
      <x:c r="K40" s="1"/>
      <x:c r="L40" s="1"/>
      <x:c r="M40" s="1"/>
      <x:c r="N40" s="1"/>
      <x:c r="O40" s="1"/>
      <x:c r="P40" s="1"/>
    </x:row>
    <x:row r="41" ht="23" customHeight="1">
      <x:c r="A41" s="1"/>
      <x:c r="B41" s="1"/>
      <x:c r="C41" s="1"/>
      <x:c r="D41" s="1"/>
      <x:c r="E41" s="1"/>
      <x:c r="F41" s="1"/>
      <x:c r="G41" s="1"/>
      <x:c r="H41" s="1"/>
      <x:c r="I41" s="1"/>
      <x:c r="J41" s="1"/>
      <x:c r="K41" s="1"/>
      <x:c r="L41" s="1"/>
      <x:c r="M41" s="1"/>
      <x:c r="N41" s="1"/>
      <x:c r="O41" s="1"/>
      <x:c r="P41" s="1"/>
    </x:row>
    <x:row r="42" ht="64" customHeight="1">
      <x:c r="A42" s="1"/>
      <x:c r="B42" s="8" t="str">
        <x:v>Coleção</x:v>
      </x:c>
      <x:c r="C42" s="8" t="str">
        <x:v>Quantidade</x:v>
      </x:c>
      <x:c r="D42" s="8" t="str">
        <x:v>Área privativa m²</x:v>
      </x:c>
      <x:c r="E42" s="8" t="str">
        <x:v>Preço ativo USD/m²</x:v>
      </x:c>
      <x:c r="F42" s="8" t="str">
        <x:v>Vendas brutas simuladas</x:v>
      </x:c>
      <x:c r="G42" s="1"/>
      <x:c r="H42" s="1"/>
      <x:c r="I42" s="1"/>
      <x:c r="J42" s="1"/>
      <x:c r="K42" s="1"/>
      <x:c r="L42" s="1"/>
      <x:c r="M42" s="1"/>
      <x:c r="N42" s="1"/>
      <x:c r="O42" s="1"/>
      <x:c r="P42" s="1"/>
    </x:row>
    <x:row r="43" ht="23" customHeight="1">
      <x:c r="A43" s="1"/>
      <x:c r="B43" s="1" t="str">
        <x:v>700 m²</x:v>
      </x:c>
      <x:c r="C43" s="1" t="n">
        <x:v>120</x:v>
      </x:c>
      <x:c r="D43" s="1" t="n">
        <x:v>700</x:v>
      </x:c>
      <x:c r="E43" s="1" t="n">
        <x:f>C39</x:f>
        <x:v>195</x:v>
      </x:c>
      <x:c r="F43" s="1" t="n">
        <x:f>C43*D43*E43</x:f>
        <x:v>16380000</x:v>
      </x:c>
      <x:c r="G43" s="1"/>
      <x:c r="H43" s="1"/>
      <x:c r="I43" s="1"/>
      <x:c r="J43" s="1"/>
      <x:c r="K43" s="1"/>
      <x:c r="L43" s="1"/>
      <x:c r="M43" s="1"/>
      <x:c r="N43" s="1"/>
      <x:c r="O43" s="1"/>
      <x:c r="P43" s="1"/>
    </x:row>
    <x:row r="44" ht="23" customHeight="1">
      <x:c r="A44" s="1"/>
      <x:c r="B44" s="1" t="str">
        <x:v>1000 m²</x:v>
      </x:c>
      <x:c r="C44" s="1" t="n">
        <x:v>120</x:v>
      </x:c>
      <x:c r="D44" s="1" t="n">
        <x:v>1000</x:v>
      </x:c>
      <x:c r="E44" s="1" t="n">
        <x:f>D39</x:f>
        <x:v>325</x:v>
      </x:c>
      <x:c r="F44" s="1" t="n">
        <x:f>C44*D44*E44</x:f>
        <x:v>39000000</x:v>
      </x:c>
      <x:c r="G44" s="1"/>
      <x:c r="H44" s="1"/>
      <x:c r="I44" s="1"/>
      <x:c r="J44" s="1"/>
      <x:c r="K44" s="1"/>
      <x:c r="L44" s="1"/>
      <x:c r="M44" s="1"/>
      <x:c r="N44" s="1"/>
      <x:c r="O44" s="1"/>
      <x:c r="P44" s="1"/>
    </x:row>
    <x:row r="45" ht="23" customHeight="1">
      <x:c r="A45" s="1"/>
      <x:c r="B45" s="1" t="str">
        <x:v>1500 m²</x:v>
      </x:c>
      <x:c r="C45" s="1" t="n">
        <x:v>120</x:v>
      </x:c>
      <x:c r="D45" s="1" t="n">
        <x:v>1500</x:v>
      </x:c>
      <x:c r="E45" s="1" t="n">
        <x:f>E39</x:f>
        <x:v>475</x:v>
      </x:c>
      <x:c r="F45" s="1" t="n">
        <x:f>C45*D45*E45</x:f>
        <x:v>85500000</x:v>
      </x:c>
      <x:c r="G45" s="1"/>
      <x:c r="H45" s="1"/>
      <x:c r="I45" s="1"/>
      <x:c r="J45" s="1"/>
      <x:c r="K45" s="1"/>
      <x:c r="L45" s="1"/>
      <x:c r="M45" s="1"/>
      <x:c r="N45" s="1"/>
      <x:c r="O45" s="1"/>
      <x:c r="P45" s="1"/>
    </x:row>
    <x:row r="46" ht="23" customHeight="1">
      <x:c r="A46" s="1"/>
      <x:c r="B46" s="1"/>
      <x:c r="C46" s="1"/>
      <x:c r="D46" s="1"/>
      <x:c r="E46" s="1"/>
      <x:c r="F46" s="1"/>
      <x:c r="G46" s="1"/>
      <x:c r="H46" s="1"/>
      <x:c r="I46" s="1"/>
      <x:c r="J46" s="1"/>
      <x:c r="K46" s="1"/>
      <x:c r="L46" s="1"/>
      <x:c r="M46" s="1"/>
      <x:c r="N46" s="1"/>
      <x:c r="O46" s="1"/>
      <x:c r="P46" s="1"/>
    </x:row>
    <x:row r="47" ht="23" customHeight="1">
      <x:c r="A47" s="1"/>
      <x:c r="B47" s="1" t="str">
        <x:v>Total VGV ativo</x:v>
      </x:c>
      <x:c r="C47" s="1"/>
      <x:c r="D47" s="1"/>
      <x:c r="E47" s="1"/>
      <x:c r="F47" s="1" t="n">
        <x:f>SUM(F43:F45)</x:f>
        <x:v>140880000</x:v>
      </x:c>
      <x:c r="G47" s="1"/>
      <x:c r="H47" s="1"/>
      <x:c r="I47" s="1"/>
      <x:c r="J47" s="1"/>
      <x:c r="K47" s="1"/>
      <x:c r="L47" s="1"/>
      <x:c r="M47" s="1"/>
      <x:c r="N47" s="1"/>
      <x:c r="O47" s="1"/>
      <x:c r="P47" s="1"/>
    </x:row>
    <x:row r="48" ht="23" customHeight="1">
      <x:c r="A48" s="1"/>
      <x:c r="B48" s="1" t="str">
        <x:v>Área privativa total</x:v>
      </x:c>
      <x:c r="C48" s="1"/>
      <x:c r="D48" s="1"/>
      <x:c r="E48" s="1"/>
      <x:c r="F48" s="1" t="n">
        <x:f>SUMPRODUCT(C43:C45,D43:D45)</x:f>
        <x:v>384000</x:v>
      </x:c>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dataValidations count="2">
    <x:dataValidation type="list" sqref="C7">
      <x:formula1>"1,2,3"</x:formula1>
    </x:dataValidation>
    <x:dataValidation type="list" sqref="C8">
      <x:formula1>"4"</x:formula1>
    </x:dataValidation>
  </x:dataValidations>
  <x:pageMargins left="0.7" right="0.7" top="0.75" bottom="0.75" header="0.3" footer="0.3"/>
  <x:drawing xmlns:r="http://schemas.openxmlformats.org/officeDocument/2006/relationships" r:id="Rca2845d03b3f4d67"/>
</x:worksheet>
</file>

<file path=xl/worksheets/sheet4.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3" hidden="0" customWidth="1"/>
    <x:col min="2" max="2" width="57" hidden="0" customWidth="1"/>
    <x:col min="3" max="3" width="15" hidden="0" customWidth="1"/>
    <x:col min="4" max="4" width="24"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0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Orcamento</x:v>
      </x:c>
      <x:c r="C2" s="32"/>
      <x:c r="D2" s="32"/>
      <x:c r="E2" s="32"/>
      <x:c r="F2" s="32"/>
      <x:c r="G2" s="32"/>
      <x:c r="H2" s="32"/>
      <x:c r="I2" s="1"/>
      <x:c r="J2" s="1"/>
      <x:c r="K2" s="1"/>
      <x:c r="L2" s="1"/>
      <x:c r="M2" s="1"/>
      <x:c r="N2" s="1"/>
      <x:c r="O2" s="1"/>
      <x:c r="P2" s="1"/>
    </x:row>
    <x:row r="3" ht="26" customHeight="1">
      <x:c r="A3" s="1"/>
      <x:c r="B3" s="34" t="str">
        <x:v>Gislaine Araujo Silva | 03/11/2026 | USD</x:v>
      </x:c>
      <x:c r="C3" s="32"/>
      <x:c r="D3" s="32"/>
      <x:c r="E3" s="32"/>
      <x:c r="F3" s="32"/>
      <x:c r="G3" s="32"/>
      <x:c r="H3" s="32"/>
      <x:c r="I3" s="1"/>
      <x:c r="J3" s="1"/>
      <x:c r="K3" s="1"/>
      <x:c r="L3" s="1"/>
      <x:c r="M3" s="1"/>
      <x:c r="N3" s="1"/>
      <x:c r="O3" s="1"/>
      <x:c r="P3" s="1"/>
    </x:row>
    <x:row r="4" ht="23" customHeight="1">
      <x:c r="A4" s="1"/>
      <x:c r="B4" s="1" t="str">
        <x:v>Itens recebidos para conferência de escopo. Seus subtotais não substituem o total confirmado de terreno e implantação na aba Resumo.</x:v>
      </x:c>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ID e pacote</x:v>
      </x:c>
      <x:c r="C6" s="8" t="str">
        <x:v>Qtd.</x:v>
      </x:c>
      <x:c r="D6" s="8" t="str">
        <x:v>Unidade</x:v>
      </x:c>
      <x:c r="E6" s="8" t="str">
        <x:v>Baixo USD/un</x:v>
      </x:c>
      <x:c r="F6" s="8" t="str">
        <x:v>Central USD/un</x:v>
      </x:c>
      <x:c r="G6" s="8" t="str">
        <x:v>Alto USD/un</x:v>
      </x:c>
      <x:c r="H6" s="8" t="str">
        <x:v>Ativo USD/un</x:v>
      </x:c>
      <x:c r="I6" s="8" t="str">
        <x:v>Subtotal USD</x:v>
      </x:c>
      <x:c r="J6" s="8" t="str">
        <x:v>Fase inicial</x:v>
      </x:c>
      <x:c r="K6" s="8" t="str">
        <x:v>Inicial USD</x:v>
      </x:c>
      <x:c r="L6" s="8" t="str">
        <x:v>Saldo USD</x:v>
      </x:c>
      <x:c r="M6" s="8" t="str">
        <x:v>Fonte</x:v>
      </x:c>
      <x:c r="N6" s="8" t="str">
        <x:v>Escopo / premissa</x:v>
      </x:c>
      <x:c r="O6" s="1"/>
      <x:c r="P6" s="1"/>
    </x:row>
    <x:row r="7" ht="62" customHeight="1">
      <x:c r="A7" s="1"/>
      <x:c r="B7" s="10" t="str">
        <x:v>B4 Piscina esportiva de 25 m</x:v>
      </x:c>
      <x:c r="C7" s="10" t="n">
        <x:v>1</x:v>
      </x:c>
      <x:c r="D7" s="10" t="str">
        <x:v>verba recebida</x:v>
      </x:c>
      <x:c r="E7" s="14" t="n">
        <x:f>1800000/Premissas!$C$9</x:f>
        <x:v>333333.3333333333</x:v>
      </x:c>
      <x:c r="F7" s="14" t="n">
        <x:f>1800000/Premissas!$C$9</x:f>
        <x:v>333333.3333333333</x:v>
      </x:c>
      <x:c r="G7" s="14" t="n">
        <x:f>1800000/Premissas!$C$9</x:f>
        <x:v>333333.3333333333</x:v>
      </x:c>
      <x:c r="H7" s="14" t="n">
        <x:f>INDEX(E7:G7,1,Premissas!$C$7)</x:f>
        <x:v>333333.3333333333</x:v>
      </x:c>
      <x:c r="I7" s="14" t="n">
        <x:f>C7*H7</x:f>
        <x:v>333333.3333333333</x:v>
      </x:c>
      <x:c r="J7" s="15" t="n">
        <x:v>1</x:v>
      </x:c>
      <x:c r="K7" s="14" t="n">
        <x:f>I7*J7</x:f>
        <x:v>333333.3333333333</x:v>
      </x:c>
      <x:c r="L7" s="14" t="n">
        <x:f>I7-K7</x:f>
        <x:v>0</x:v>
      </x:c>
      <x:c r="M7" s="1" t="str">
        <x:v>BASE</x:v>
      </x:c>
      <x:c r="N7" s="10" t="str">
        <x:v>Dimensões, aquecimento, tratamento e proposta da piscina de 25 m.</x:v>
      </x:c>
      <x:c r="O7" s="1"/>
      <x:c r="P7" s="1"/>
    </x:row>
    <x:row r="8" ht="62" customHeight="1">
      <x:c r="A8" s="1"/>
      <x:c r="B8" s="10" t="str">
        <x:v>B5 Complexo de piscinas social e infantil - módulos financeiros</x:v>
      </x:c>
      <x:c r="C8" s="10" t="n">
        <x:v>1</x:v>
      </x:c>
      <x:c r="D8" s="10" t="str">
        <x:v>verba recebida</x:v>
      </x:c>
      <x:c r="E8" s="14" t="n">
        <x:f>7200000/Premissas!$C$9</x:f>
        <x:v>1333333.3333333333</x:v>
      </x:c>
      <x:c r="F8" s="14" t="n">
        <x:f>7200000/Premissas!$C$9</x:f>
        <x:v>1333333.3333333333</x:v>
      </x:c>
      <x:c r="G8" s="14" t="n">
        <x:f>7200000/Premissas!$C$9</x:f>
        <x:v>1333333.3333333333</x:v>
      </x:c>
      <x:c r="H8" s="14" t="n">
        <x:f>INDEX(E8:G8,1,Premissas!$C$7)</x:f>
        <x:v>1333333.3333333333</x:v>
      </x:c>
      <x:c r="I8" s="14" t="n">
        <x:f>C8*H8</x:f>
        <x:v>1333333.3333333333</x:v>
      </x:c>
      <x:c r="J8" s="15" t="n">
        <x:v>0.5</x:v>
      </x:c>
      <x:c r="K8" s="14" t="n">
        <x:f>I8*J8</x:f>
        <x:v>666666.6666666666</x:v>
      </x:c>
      <x:c r="L8" s="14" t="n">
        <x:f>I8-K8</x:f>
        <x:v>666666.6666666666</x:v>
      </x:c>
      <x:c r="M8" s="1" t="str">
        <x:v>BASE</x:v>
      </x:c>
      <x:c r="N8" s="10" t="str">
        <x:v>A quantidade 4 é de módulos financeiros da planilha, sem equivalência confirmada com quatro piscinas físicas. Conciliar piscina social e infantil, áreas, sistemas e a entrega dos 50% sem alterar a arquitetura.</x:v>
      </x:c>
      <x:c r="O8" s="1"/>
      <x:c r="P8" s="1"/>
    </x:row>
    <x:row r="9" ht="62" customHeight="1">
      <x:c r="A9" s="1"/>
      <x:c r="B9" s="10" t="str">
        <x:v>B6 Campo de futebol</x:v>
      </x:c>
      <x:c r="C9" s="10" t="n">
        <x:v>1</x:v>
      </x:c>
      <x:c r="D9" s="10" t="str">
        <x:v>verba recebida</x:v>
      </x:c>
      <x:c r="E9" s="14" t="n">
        <x:f>3500000/Premissas!$C$9</x:f>
        <x:v>648148.1481481481</x:v>
      </x:c>
      <x:c r="F9" s="14" t="n">
        <x:f>3500000/Premissas!$C$9</x:f>
        <x:v>648148.1481481481</x:v>
      </x:c>
      <x:c r="G9" s="14" t="n">
        <x:f>3500000/Premissas!$C$9</x:f>
        <x:v>648148.1481481481</x:v>
      </x:c>
      <x:c r="H9" s="14" t="n">
        <x:f>INDEX(E9:G9,1,Premissas!$C$7)</x:f>
        <x:v>648148.1481481481</x:v>
      </x:c>
      <x:c r="I9" s="14" t="n">
        <x:f>C9*H9</x:f>
        <x:v>648148.1481481481</x:v>
      </x:c>
      <x:c r="J9" s="15" t="n">
        <x:v>0.5</x:v>
      </x:c>
      <x:c r="K9" s="14" t="n">
        <x:f>I9*J9</x:f>
        <x:v>324074.07407407404</x:v>
      </x:c>
      <x:c r="L9" s="14" t="n">
        <x:f>I9-K9</x:f>
        <x:v>324074.07407407404</x:v>
      </x:c>
      <x:c r="M9" s="1" t="str">
        <x:v>BASE</x:v>
      </x:c>
      <x:c r="N9" s="10" t="str">
        <x:v>F05 tem só 450 m² de sintético. Dimensionar campo de 11 e serviços completos.</x:v>
      </x:c>
      <x:c r="O9" s="1"/>
      <x:c r="P9" s="1"/>
    </x:row>
    <x:row r="10" ht="62" customHeight="1">
      <x:c r="A10" s="1"/>
      <x:c r="B10" s="10" t="str">
        <x:v>B7 Dois vestiários</x:v>
      </x:c>
      <x:c r="C10" s="10" t="n">
        <x:v>1</x:v>
      </x:c>
      <x:c r="D10" s="10" t="str">
        <x:v>verba recebida</x:v>
      </x:c>
      <x:c r="E10" s="14" t="n">
        <x:f>1900000/Premissas!$C$9</x:f>
        <x:v>351851.85185185185</x:v>
      </x:c>
      <x:c r="F10" s="14" t="n">
        <x:f>1900000/Premissas!$C$9</x:f>
        <x:v>351851.85185185185</x:v>
      </x:c>
      <x:c r="G10" s="14" t="n">
        <x:f>1900000/Premissas!$C$9</x:f>
        <x:v>351851.85185185185</x:v>
      </x:c>
      <x:c r="H10" s="14" t="n">
        <x:f>INDEX(E10:G10,1,Premissas!$C$7)</x:f>
        <x:v>351851.85185185185</x:v>
      </x:c>
      <x:c r="I10" s="14" t="n">
        <x:f>C10*H10</x:f>
        <x:v>351851.85185185185</x:v>
      </x:c>
      <x:c r="J10" s="15" t="n">
        <x:v>0.5</x:v>
      </x:c>
      <x:c r="K10" s="14" t="n">
        <x:f>I10*J10</x:f>
        <x:v>175925.92592592593</x:v>
      </x:c>
      <x:c r="L10" s="14" t="n">
        <x:f>I10-K10</x:f>
        <x:v>175925.92592592593</x:v>
      </x:c>
      <x:c r="M10" s="1" t="str">
        <x:v>BASE</x:v>
      </x:c>
      <x:c r="N10" s="10" t="str">
        <x:v>Área, instalações e padrão dos dois vestiários.</x:v>
      </x:c>
      <x:c r="O10" s="1"/>
      <x:c r="P10" s="1"/>
    </x:row>
    <x:row r="11" ht="62" customHeight="1">
      <x:c r="A11" s="1"/>
      <x:c r="B11" s="10" t="str">
        <x:v>B8 Três quadras de tênis de saibro com alambrado</x:v>
      </x:c>
      <x:c r="C11" s="10" t="n">
        <x:v>1</x:v>
      </x:c>
      <x:c r="D11" s="10" t="str">
        <x:v>verba recebida</x:v>
      </x:c>
      <x:c r="E11" s="14" t="n">
        <x:f>3600000/Premissas!$C$9</x:f>
        <x:v>666666.6666666666</x:v>
      </x:c>
      <x:c r="F11" s="14" t="n">
        <x:f>3600000/Premissas!$C$9</x:f>
        <x:v>666666.6666666666</x:v>
      </x:c>
      <x:c r="G11" s="14" t="n">
        <x:f>3600000/Premissas!$C$9</x:f>
        <x:v>666666.6666666666</x:v>
      </x:c>
      <x:c r="H11" s="14" t="n">
        <x:f>INDEX(E11:G11,1,Premissas!$C$7)</x:f>
        <x:v>666666.6666666666</x:v>
      </x:c>
      <x:c r="I11" s="14" t="n">
        <x:f>C11*H11</x:f>
        <x:v>666666.6666666666</x:v>
      </x:c>
      <x:c r="J11" s="15" t="n">
        <x:v>1</x:v>
      </x:c>
      <x:c r="K11" s="14" t="n">
        <x:f>I11*J11</x:f>
        <x:v>666666.6666666666</x:v>
      </x:c>
      <x:c r="L11" s="14" t="n">
        <x:f>I11-K11</x:f>
        <x:v>0</x:v>
      </x:c>
      <x:c r="M11" s="1" t="str">
        <x:v>BASE</x:v>
      </x:c>
      <x:c r="N11" s="10" t="str">
        <x:v>Três quadras de saibro, base, iluminação e alambrado.</x:v>
      </x:c>
      <x:c r="O11" s="1"/>
      <x:c r="P11" s="1"/>
    </x:row>
    <x:row r="12" ht="62" customHeight="1">
      <x:c r="A12" s="1"/>
      <x:c r="B12" s="10" t="str">
        <x:v>B9 Duas quadras de areia</x:v>
      </x:c>
      <x:c r="C12" s="10" t="n">
        <x:v>1</x:v>
      </x:c>
      <x:c r="D12" s="10" t="str">
        <x:v>verba recebida</x:v>
      </x:c>
      <x:c r="E12" s="14" t="n">
        <x:f>1600000/Premissas!$C$9</x:f>
        <x:v>296296.2962962963</x:v>
      </x:c>
      <x:c r="F12" s="14" t="n">
        <x:f>1600000/Premissas!$C$9</x:f>
        <x:v>296296.2962962963</x:v>
      </x:c>
      <x:c r="G12" s="14" t="n">
        <x:f>1600000/Premissas!$C$9</x:f>
        <x:v>296296.2962962963</x:v>
      </x:c>
      <x:c r="H12" s="14" t="n">
        <x:f>INDEX(E12:G12,1,Premissas!$C$7)</x:f>
        <x:v>296296.2962962963</x:v>
      </x:c>
      <x:c r="I12" s="14" t="n">
        <x:f>C12*H12</x:f>
        <x:v>296296.2962962963</x:v>
      </x:c>
      <x:c r="J12" s="15" t="n">
        <x:v>1</x:v>
      </x:c>
      <x:c r="K12" s="14" t="n">
        <x:f>I12*J12</x:f>
        <x:v>296296.2962962963</x:v>
      </x:c>
      <x:c r="L12" s="14" t="n">
        <x:f>I12-K12</x:f>
        <x:v>0</x:v>
      </x:c>
      <x:c r="M12" s="1" t="str">
        <x:v>BASE</x:v>
      </x:c>
      <x:c r="N12" s="10" t="str">
        <x:v>Duas quadras de areia, base, drenagem e iluminação.</x:v>
      </x:c>
      <x:c r="O12" s="1"/>
      <x:c r="P12" s="1"/>
    </x:row>
    <x:row r="13" ht="62" customHeight="1">
      <x:c r="A13" s="1"/>
      <x:c r="B13" s="10" t="str">
        <x:v>B10 Restaurante equipado para 150 pessoas</x:v>
      </x:c>
      <x:c r="C13" s="10" t="n">
        <x:v>1</x:v>
      </x:c>
      <x:c r="D13" s="10" t="str">
        <x:v>verba recebida</x:v>
      </x:c>
      <x:c r="E13" s="14" t="n">
        <x:f>3000000/Premissas!$C$9</x:f>
        <x:v>555555.5555555555</x:v>
      </x:c>
      <x:c r="F13" s="14" t="n">
        <x:f>3000000/Premissas!$C$9</x:f>
        <x:v>555555.5555555555</x:v>
      </x:c>
      <x:c r="G13" s="14" t="n">
        <x:f>3000000/Premissas!$C$9</x:f>
        <x:v>555555.5555555555</x:v>
      </x:c>
      <x:c r="H13" s="14" t="n">
        <x:f>INDEX(E13:G13,1,Premissas!$C$7)</x:f>
        <x:v>555555.5555555555</x:v>
      </x:c>
      <x:c r="I13" s="14" t="n">
        <x:f>C13*H13</x:f>
        <x:v>555555.5555555555</x:v>
      </x:c>
      <x:c r="J13" s="15" t="n">
        <x:v>0.55</x:v>
      </x:c>
      <x:c r="K13" s="14" t="n">
        <x:f>I13*J13</x:f>
        <x:v>305555.55555555556</x:v>
      </x:c>
      <x:c r="L13" s="14" t="n">
        <x:f>I13-K13</x:f>
        <x:v>249999.99999999994</x:v>
      </x:c>
      <x:c r="M13" s="1" t="str">
        <x:v>BASE</x:v>
      </x:c>
      <x:c r="N13" s="10" t="str">
        <x:v>150 pessoas: separar edifício, cozinha e mobiliário.</x:v>
      </x:c>
      <x:c r="O13" s="1"/>
      <x:c r="P13" s="1"/>
    </x:row>
    <x:row r="14" ht="62" customHeight="1">
      <x:c r="A14" s="1"/>
      <x:c r="B14" s="10" t="str">
        <x:v>B11 Restaurante do lago para 60 pessoas</x:v>
      </x:c>
      <x:c r="C14" s="10" t="n">
        <x:v>1</x:v>
      </x:c>
      <x:c r="D14" s="10" t="str">
        <x:v>verba recebida</x:v>
      </x:c>
      <x:c r="E14" s="14" t="n">
        <x:f>1700000/Premissas!$C$9</x:f>
        <x:v>314814.8148148148</x:v>
      </x:c>
      <x:c r="F14" s="14" t="n">
        <x:f>1700000/Premissas!$C$9</x:f>
        <x:v>314814.8148148148</x:v>
      </x:c>
      <x:c r="G14" s="14" t="n">
        <x:f>1700000/Premissas!$C$9</x:f>
        <x:v>314814.8148148148</x:v>
      </x:c>
      <x:c r="H14" s="14" t="n">
        <x:f>INDEX(E14:G14,1,Premissas!$C$7)</x:f>
        <x:v>314814.8148148148</x:v>
      </x:c>
      <x:c r="I14" s="14" t="n">
        <x:f>C14*H14</x:f>
        <x:v>314814.8148148148</x:v>
      </x:c>
      <x:c r="J14" s="15" t="n">
        <x:v>1</x:v>
      </x:c>
      <x:c r="K14" s="14" t="n">
        <x:f>I14*J14</x:f>
        <x:v>314814.8148148148</x:v>
      </x:c>
      <x:c r="L14" s="14" t="n">
        <x:f>I14-K14</x:f>
        <x:v>0</x:v>
      </x:c>
      <x:c r="M14" s="1" t="str">
        <x:v>BASE</x:v>
      </x:c>
      <x:c r="N14" s="10" t="str">
        <x:v>Confirmar restaurante adicional para 60 pessoas e escopo.</x:v>
      </x:c>
      <x:c r="O14" s="1"/>
      <x:c r="P14" s="1"/>
    </x:row>
    <x:row r="15" ht="62" customHeight="1">
      <x:c r="A15" s="1"/>
      <x:c r="B15" s="10" t="str">
        <x:v>B12 Capela</x:v>
      </x:c>
      <x:c r="C15" s="10" t="n">
        <x:v>1</x:v>
      </x:c>
      <x:c r="D15" s="10" t="str">
        <x:v>verba recebida</x:v>
      </x:c>
      <x:c r="E15" s="14" t="n">
        <x:f>650000/Premissas!$C$9</x:f>
        <x:v>120370.37037037036</x:v>
      </x:c>
      <x:c r="F15" s="14" t="n">
        <x:f>650000/Premissas!$C$9</x:f>
        <x:v>120370.37037037036</x:v>
      </x:c>
      <x:c r="G15" s="14" t="n">
        <x:f>650000/Premissas!$C$9</x:f>
        <x:v>120370.37037037036</x:v>
      </x:c>
      <x:c r="H15" s="14" t="n">
        <x:f>INDEX(E15:G15,1,Premissas!$C$7)</x:f>
        <x:v>120370.37037037036</x:v>
      </x:c>
      <x:c r="I15" s="14" t="n">
        <x:f>C15*H15</x:f>
        <x:v>120370.37037037036</x:v>
      </x:c>
      <x:c r="J15" s="15" t="n">
        <x:v>0.5</x:v>
      </x:c>
      <x:c r="K15" s="14" t="n">
        <x:f>I15*J15</x:f>
        <x:v>60185.18518518518</x:v>
      </x:c>
      <x:c r="L15" s="14" t="n">
        <x:f>I15-K15</x:f>
        <x:v>60185.18518518518</x:v>
      </x:c>
      <x:c r="M15" s="1" t="str">
        <x:v>BASE</x:v>
      </x:c>
      <x:c r="N15" s="10" t="str">
        <x:v>Área construída e padrão da capela.</x:v>
      </x:c>
      <x:c r="O15" s="1"/>
      <x:c r="P15" s="1"/>
    </x:row>
    <x:row r="16" ht="62" customHeight="1">
      <x:c r="A16" s="1"/>
      <x:c r="B16" s="10" t="str">
        <x:v>B13 Quatro espelhos de água de 75 m² - área a confirmar</x:v>
      </x:c>
      <x:c r="C16" s="10" t="n">
        <x:v>1</x:v>
      </x:c>
      <x:c r="D16" s="10" t="str">
        <x:v>verba recebida</x:v>
      </x:c>
      <x:c r="E16" s="14" t="n">
        <x:f>1400000/Premissas!$C$9</x:f>
        <x:v>259259.25925925924</x:v>
      </x:c>
      <x:c r="F16" s="14" t="n">
        <x:f>1400000/Premissas!$C$9</x:f>
        <x:v>259259.25925925924</x:v>
      </x:c>
      <x:c r="G16" s="14" t="n">
        <x:f>1400000/Premissas!$C$9</x:f>
        <x:v>259259.25925925924</x:v>
      </x:c>
      <x:c r="H16" s="14" t="n">
        <x:f>INDEX(E16:G16,1,Premissas!$C$7)</x:f>
        <x:v>259259.25925925924</x:v>
      </x:c>
      <x:c r="I16" s="14" t="n">
        <x:f>C16*H16</x:f>
        <x:v>259259.25925925924</x:v>
      </x:c>
      <x:c r="J16" s="15" t="n">
        <x:v>1</x:v>
      </x:c>
      <x:c r="K16" s="14" t="n">
        <x:f>I16*J16</x:f>
        <x:v>259259.25925925924</x:v>
      </x:c>
      <x:c r="L16" s="14" t="n">
        <x:f>I16-K16</x:f>
        <x:v>0</x:v>
      </x:c>
      <x:c r="M16" s="1" t="str">
        <x:v>BASE</x:v>
      </x:c>
      <x:c r="N16" s="10" t="str">
        <x:v>Confirmar 4 × 75 m², volumes e sistema dos espelhos menores.</x:v>
      </x:c>
      <x:c r="O16" s="1"/>
      <x:c r="P16" s="1"/>
    </x:row>
    <x:row r="17" ht="62" customHeight="1">
      <x:c r="A17" s="1"/>
      <x:c r="B17" s="10" t="str">
        <x:v>B14 Quatro centros de conveniência de 90 m²</x:v>
      </x:c>
      <x:c r="C17" s="10" t="n">
        <x:v>1</x:v>
      </x:c>
      <x:c r="D17" s="10" t="str">
        <x:v>verba recebida</x:v>
      </x:c>
      <x:c r="E17" s="14" t="n">
        <x:f>6000000/Premissas!$C$9</x:f>
        <x:v>1111111.111111111</x:v>
      </x:c>
      <x:c r="F17" s="14" t="n">
        <x:f>6000000/Premissas!$C$9</x:f>
        <x:v>1111111.111111111</x:v>
      </x:c>
      <x:c r="G17" s="14" t="n">
        <x:f>6000000/Premissas!$C$9</x:f>
        <x:v>1111111.111111111</x:v>
      </x:c>
      <x:c r="H17" s="14" t="n">
        <x:f>INDEX(E17:G17,1,Premissas!$C$7)</x:f>
        <x:v>1111111.111111111</x:v>
      </x:c>
      <x:c r="I17" s="14" t="n">
        <x:f>C17*H17</x:f>
        <x:v>1111111.111111111</x:v>
      </x:c>
      <x:c r="J17" s="15" t="n">
        <x:v>0.25</x:v>
      </x:c>
      <x:c r="K17" s="14" t="n">
        <x:f>I17*J17</x:f>
        <x:v>277777.77777777775</x:v>
      </x:c>
      <x:c r="L17" s="14" t="n">
        <x:f>I17-K17</x:f>
        <x:v>833333.3333333333</x:v>
      </x:c>
      <x:c r="M17" s="1" t="str">
        <x:v>BASE</x:v>
      </x:c>
      <x:c r="N17" s="10" t="str">
        <x:v>Quatro centros de 90 m² e equipamento de cada uso.</x:v>
      </x:c>
      <x:c r="O17" s="1"/>
      <x:c r="P17" s="1"/>
    </x:row>
    <x:row r="18" ht="62" customHeight="1">
      <x:c r="A18" s="1"/>
      <x:c r="B18" s="10" t="str">
        <x:v>B15 Dois bares molhados</x:v>
      </x:c>
      <x:c r="C18" s="10" t="n">
        <x:v>1</x:v>
      </x:c>
      <x:c r="D18" s="10" t="str">
        <x:v>verba recebida</x:v>
      </x:c>
      <x:c r="E18" s="14" t="n">
        <x:f>1600000/Premissas!$C$9</x:f>
        <x:v>296296.2962962963</x:v>
      </x:c>
      <x:c r="F18" s="14" t="n">
        <x:f>1600000/Premissas!$C$9</x:f>
        <x:v>296296.2962962963</x:v>
      </x:c>
      <x:c r="G18" s="14" t="n">
        <x:f>1600000/Premissas!$C$9</x:f>
        <x:v>296296.2962962963</x:v>
      </x:c>
      <x:c r="H18" s="14" t="n">
        <x:f>INDEX(E18:G18,1,Premissas!$C$7)</x:f>
        <x:v>296296.2962962963</x:v>
      </x:c>
      <x:c r="I18" s="14" t="n">
        <x:f>C18*H18</x:f>
        <x:v>296296.2962962963</x:v>
      </x:c>
      <x:c r="J18" s="15" t="n">
        <x:v>0.5</x:v>
      </x:c>
      <x:c r="K18" s="14" t="n">
        <x:f>I18*J18</x:f>
        <x:v>148148.14814814815</x:v>
      </x:c>
      <x:c r="L18" s="14" t="n">
        <x:f>I18-K18</x:f>
        <x:v>148148.14814814815</x:v>
      </x:c>
      <x:c r="M18" s="1" t="str">
        <x:v>BASE</x:v>
      </x:c>
      <x:c r="N18" s="10" t="str">
        <x:v>Verificar inclusão dos bares no preço das piscinas.</x:v>
      </x:c>
      <x:c r="O18" s="1"/>
      <x:c r="P18" s="1"/>
    </x:row>
    <x:row r="19" ht="62" customHeight="1">
      <x:c r="A19" s="1"/>
      <x:c r="B19" s="10" t="str">
        <x:v>B16 Academia para 80 pessoas</x:v>
      </x:c>
      <x:c r="C19" s="10" t="n">
        <x:v>1</x:v>
      </x:c>
      <x:c r="D19" s="10" t="str">
        <x:v>verba recebida</x:v>
      </x:c>
      <x:c r="E19" s="14" t="n">
        <x:f>2800000/Premissas!$C$9</x:f>
        <x:v>518518.5185185185</x:v>
      </x:c>
      <x:c r="F19" s="14" t="n">
        <x:f>2800000/Premissas!$C$9</x:f>
        <x:v>518518.5185185185</x:v>
      </x:c>
      <x:c r="G19" s="14" t="n">
        <x:f>2800000/Premissas!$C$9</x:f>
        <x:v>518518.5185185185</x:v>
      </x:c>
      <x:c r="H19" s="14" t="n">
        <x:f>INDEX(E19:G19,1,Premissas!$C$7)</x:f>
        <x:v>518518.5185185185</x:v>
      </x:c>
      <x:c r="I19" s="14" t="n">
        <x:f>C19*H19</x:f>
        <x:v>518518.5185185185</x:v>
      </x:c>
      <x:c r="J19" s="15" t="n">
        <x:v>1</x:v>
      </x:c>
      <x:c r="K19" s="14" t="n">
        <x:f>I19*J19</x:f>
        <x:v>518518.5185185185</x:v>
      </x:c>
      <x:c r="L19" s="14" t="n">
        <x:f>I19-K19</x:f>
        <x:v>0</x:v>
      </x:c>
      <x:c r="M19" s="1" t="str">
        <x:v>BASE</x:v>
      </x:c>
      <x:c r="N19" s="10" t="str">
        <x:v>Separar edifício e equipamentos da academia.</x:v>
      </x:c>
      <x:c r="O19" s="1"/>
      <x:c r="P19" s="1"/>
    </x:row>
    <x:row r="20" ht="62" customHeight="1">
      <x:c r="A20" s="1"/>
      <x:c r="B20" s="10" t="str">
        <x:v>B17 Dois salões de jogos</x:v>
      </x:c>
      <x:c r="C20" s="10" t="n">
        <x:v>1</x:v>
      </x:c>
      <x:c r="D20" s="10" t="str">
        <x:v>verba recebida</x:v>
      </x:c>
      <x:c r="E20" s="14" t="n">
        <x:f>2400000/Premissas!$C$9</x:f>
        <x:v>444444.44444444444</x:v>
      </x:c>
      <x:c r="F20" s="14" t="n">
        <x:f>2400000/Premissas!$C$9</x:f>
        <x:v>444444.44444444444</x:v>
      </x:c>
      <x:c r="G20" s="14" t="n">
        <x:f>2400000/Premissas!$C$9</x:f>
        <x:v>444444.44444444444</x:v>
      </x:c>
      <x:c r="H20" s="14" t="n">
        <x:f>INDEX(E20:G20,1,Premissas!$C$7)</x:f>
        <x:v>444444.44444444444</x:v>
      </x:c>
      <x:c r="I20" s="14" t="n">
        <x:f>C20*H20</x:f>
        <x:v>444444.44444444444</x:v>
      </x:c>
      <x:c r="J20" s="15" t="n">
        <x:v>0.5</x:v>
      </x:c>
      <x:c r="K20" s="14" t="n">
        <x:f>I20*J20</x:f>
        <x:v>222222.22222222222</x:v>
      </x:c>
      <x:c r="L20" s="14" t="n">
        <x:f>I20-K20</x:f>
        <x:v>222222.22222222222</x:v>
      </x:c>
      <x:c r="M20" s="1" t="str">
        <x:v>BASE</x:v>
      </x:c>
      <x:c r="N20" s="10" t="str">
        <x:v>Área, mobiliário e jogos dos dois salões.</x:v>
      </x:c>
      <x:c r="O20" s="1"/>
      <x:c r="P20" s="1"/>
    </x:row>
    <x:row r="21" ht="62" customHeight="1">
      <x:c r="A21" s="1"/>
      <x:c r="B21" s="10" t="str">
        <x:v>B18 Dois lagos principais - 19.000 m² a confirmar</x:v>
      </x:c>
      <x:c r="C21" s="10" t="n">
        <x:v>1</x:v>
      </x:c>
      <x:c r="D21" s="10" t="str">
        <x:v>verba recebida</x:v>
      </x:c>
      <x:c r="E21" s="14" t="n">
        <x:f>40000000/Premissas!$C$9</x:f>
        <x:v>7407407.407407407</x:v>
      </x:c>
      <x:c r="F21" s="14" t="n">
        <x:f>40000000/Premissas!$C$9</x:f>
        <x:v>7407407.407407407</x:v>
      </x:c>
      <x:c r="G21" s="14" t="n">
        <x:f>40000000/Premissas!$C$9</x:f>
        <x:v>7407407.407407407</x:v>
      </x:c>
      <x:c r="H21" s="14" t="n">
        <x:f>INDEX(E21:G21,1,Premissas!$C$7)</x:f>
        <x:v>7407407.407407407</x:v>
      </x:c>
      <x:c r="I21" s="14" t="n">
        <x:f>C21*H21</x:f>
        <x:v>7407407.407407407</x:v>
      </x:c>
      <x:c r="J21" s="15" t="n">
        <x:v>0.5</x:v>
      </x:c>
      <x:c r="K21" s="14" t="n">
        <x:f>I21*J21</x:f>
        <x:v>3703703.7037037034</x:v>
      </x:c>
      <x:c r="L21" s="14" t="n">
        <x:f>I21-K21</x:f>
        <x:v>3703703.7037037034</x:v>
      </x:c>
      <x:c r="M21" s="1" t="str">
        <x:v>BASE</x:v>
      </x:c>
      <x:c r="N21" s="10" t="str">
        <x:v>19.000 m² de água: medir escavação, manta, bordas, tratamento e ponte.</x:v>
      </x:c>
      <x:c r="O21" s="1"/>
      <x:c r="P21" s="1"/>
    </x:row>
    <x:row r="22" ht="62" customHeight="1">
      <x:c r="A22" s="1"/>
      <x:c r="B22" s="10" t="str">
        <x:v>B19 Espaço de ervas e temperos</x:v>
      </x:c>
      <x:c r="C22" s="10" t="n">
        <x:v>1</x:v>
      </x:c>
      <x:c r="D22" s="10" t="str">
        <x:v>verba recebida</x:v>
      </x:c>
      <x:c r="E22" s="14" t="n">
        <x:f>300000/Premissas!$C$9</x:f>
        <x:v>55555.555555555555</x:v>
      </x:c>
      <x:c r="F22" s="14" t="n">
        <x:f>300000/Premissas!$C$9</x:f>
        <x:v>55555.555555555555</x:v>
      </x:c>
      <x:c r="G22" s="14" t="n">
        <x:f>300000/Premissas!$C$9</x:f>
        <x:v>55555.555555555555</x:v>
      </x:c>
      <x:c r="H22" s="14" t="n">
        <x:f>INDEX(E22:G22,1,Premissas!$C$7)</x:f>
        <x:v>55555.555555555555</x:v>
      </x:c>
      <x:c r="I22" s="14" t="n">
        <x:f>C22*H22</x:f>
        <x:v>55555.555555555555</x:v>
      </x:c>
      <x:c r="J22" s="15" t="n">
        <x:v>1</x:v>
      </x:c>
      <x:c r="K22" s="14" t="n">
        <x:f>I22*J22</x:f>
        <x:v>55555.555555555555</x:v>
      </x:c>
      <x:c r="L22" s="14" t="n">
        <x:f>I22-K22</x:f>
        <x:v>0</x:v>
      </x:c>
      <x:c r="M22" s="1" t="str">
        <x:v>BASE</x:v>
      </x:c>
      <x:c r="N22" s="10" t="str">
        <x:v>Separar horta, irrigação e viveiro de mudas ainda ausente.</x:v>
      </x:c>
      <x:c r="O22" s="1"/>
      <x:c r="P22" s="1"/>
    </x:row>
    <x:row r="23" ht="62" customHeight="1">
      <x:c r="A23" s="1"/>
      <x:c r="B23" s="10" t="str">
        <x:v>B20 Auditório</x:v>
      </x:c>
      <x:c r="C23" s="10" t="n">
        <x:v>1</x:v>
      </x:c>
      <x:c r="D23" s="10" t="str">
        <x:v>verba recebida</x:v>
      </x:c>
      <x:c r="E23" s="14" t="n">
        <x:f>1200000/Premissas!$C$9</x:f>
        <x:v>222222.22222222222</x:v>
      </x:c>
      <x:c r="F23" s="14" t="n">
        <x:f>1200000/Premissas!$C$9</x:f>
        <x:v>222222.22222222222</x:v>
      </x:c>
      <x:c r="G23" s="14" t="n">
        <x:f>1200000/Premissas!$C$9</x:f>
        <x:v>222222.22222222222</x:v>
      </x:c>
      <x:c r="H23" s="14" t="n">
        <x:f>INDEX(E23:G23,1,Premissas!$C$7)</x:f>
        <x:v>222222.22222222222</x:v>
      </x:c>
      <x:c r="I23" s="14" t="n">
        <x:f>C23*H23</x:f>
        <x:v>222222.22222222222</x:v>
      </x:c>
      <x:c r="J23" s="15" t="n">
        <x:v>0.5</x:v>
      </x:c>
      <x:c r="K23" s="14" t="n">
        <x:f>I23*J23</x:f>
        <x:v>111111.11111111111</x:v>
      </x:c>
      <x:c r="L23" s="14" t="n">
        <x:f>I23-K23</x:f>
        <x:v>111111.11111111111</x:v>
      </x:c>
      <x:c r="M23" s="1" t="str">
        <x:v>BASE</x:v>
      </x:c>
      <x:c r="N23" s="10" t="str">
        <x:v>Capacidade, área, acústica e audiovisual.</x:v>
      </x:c>
      <x:c r="O23" s="1"/>
      <x:c r="P23" s="1"/>
    </x:row>
    <x:row r="24" ht="62" customHeight="1">
      <x:c r="A24" s="1"/>
      <x:c r="B24" s="10" t="str">
        <x:v>B21 Vias em bloquetes - 10 km hipotéticos</x:v>
      </x:c>
      <x:c r="C24" s="10" t="n">
        <x:v>1</x:v>
      </x:c>
      <x:c r="D24" s="10" t="str">
        <x:v>verba recebida</x:v>
      </x:c>
      <x:c r="E24" s="14" t="n">
        <x:f>25000000/Premissas!$C$9</x:f>
        <x:v>4629629.62962963</x:v>
      </x:c>
      <x:c r="F24" s="14" t="n">
        <x:f>25000000/Premissas!$C$9</x:f>
        <x:v>4629629.62962963</x:v>
      </x:c>
      <x:c r="G24" s="14" t="n">
        <x:f>25000000/Premissas!$C$9</x:f>
        <x:v>4629629.62962963</x:v>
      </x:c>
      <x:c r="H24" s="14" t="n">
        <x:f>INDEX(E24:G24,1,Premissas!$C$7)</x:f>
        <x:v>4629629.62962963</x:v>
      </x:c>
      <x:c r="I24" s="14" t="n">
        <x:f>C24*H24</x:f>
        <x:v>4629629.62962963</x:v>
      </x:c>
      <x:c r="J24" s="15" t="n">
        <x:v>1</x:v>
      </x:c>
      <x:c r="K24" s="14" t="n">
        <x:f>I24*J24</x:f>
        <x:v>4629629.62962963</x:v>
      </x:c>
      <x:c r="L24" s="14" t="n">
        <x:f>I24-K24</x:f>
        <x:v>0</x:v>
      </x:c>
      <x:c r="M24" s="1" t="str">
        <x:v>BASE</x:v>
      </x:c>
      <x:c r="N24" s="10" t="str">
        <x:v>10 km hipotéticos. Medir largura, escolher pavimento e conferir inclusões.</x:v>
      </x:c>
      <x:c r="O24" s="1"/>
      <x:c r="P24" s="1"/>
    </x:row>
    <x:row r="25" ht="62" customHeight="1">
      <x:c r="A25" s="1"/>
      <x:c r="B25" s="10" t="str">
        <x:v>B22 Rede de água - 10 km hipotéticos</x:v>
      </x:c>
      <x:c r="C25" s="10" t="n">
        <x:v>1</x:v>
      </x:c>
      <x:c r="D25" s="10" t="str">
        <x:v>verba recebida</x:v>
      </x:c>
      <x:c r="E25" s="14" t="n">
        <x:f>8722222.22/Premissas!$C$9</x:f>
        <x:v>1615226.3370370371</x:v>
      </x:c>
      <x:c r="F25" s="14" t="n">
        <x:f>8722222.22/Premissas!$C$9</x:f>
        <x:v>1615226.3370370371</x:v>
      </x:c>
      <x:c r="G25" s="14" t="n">
        <x:f>8722222.22/Premissas!$C$9</x:f>
        <x:v>1615226.3370370371</x:v>
      </x:c>
      <x:c r="H25" s="14" t="n">
        <x:f>INDEX(E25:G25,1,Premissas!$C$7)</x:f>
        <x:v>1615226.3370370371</x:v>
      </x:c>
      <x:c r="I25" s="14" t="n">
        <x:f>C25*H25</x:f>
        <x:v>1615226.3370370371</x:v>
      </x:c>
      <x:c r="J25" s="15" t="n">
        <x:v>1</x:v>
      </x:c>
      <x:c r="K25" s="14" t="n">
        <x:f>I25*J25</x:f>
        <x:v>1615226.3370370371</x:v>
      </x:c>
      <x:c r="L25" s="14" t="n">
        <x:f>I25-K25</x:f>
        <x:v>0</x:v>
      </x:c>
      <x:c r="M25" s="1" t="str">
        <x:v>BASE</x:v>
      </x:c>
      <x:c r="N25" s="10" t="str">
        <x:v>R$ 872,22/m de rota assumida. Definir rede, poço, tanque e ligações.</x:v>
      </x:c>
      <x:c r="O25" s="1"/>
      <x:c r="P25" s="1"/>
    </x:row>
    <x:row r="26" ht="62" customHeight="1">
      <x:c r="A26" s="1"/>
      <x:c r="B26" s="10" t="str">
        <x:v>B23 Rede elétrica subterrânea - 10 km hipotéticos</x:v>
      </x:c>
      <x:c r="C26" s="10" t="n">
        <x:v>1</x:v>
      </x:c>
      <x:c r="D26" s="10" t="str">
        <x:v>verba recebida</x:v>
      </x:c>
      <x:c r="E26" s="14" t="n">
        <x:f>4444444.44/Premissas!$C$9</x:f>
        <x:v>823045.2666666667</x:v>
      </x:c>
      <x:c r="F26" s="14" t="n">
        <x:f>4444444.44/Premissas!$C$9</x:f>
        <x:v>823045.2666666667</x:v>
      </x:c>
      <x:c r="G26" s="14" t="n">
        <x:f>4444444.44/Premissas!$C$9</x:f>
        <x:v>823045.2666666667</x:v>
      </x:c>
      <x:c r="H26" s="14" t="n">
        <x:f>INDEX(E26:G26,1,Premissas!$C$7)</x:f>
        <x:v>823045.2666666667</x:v>
      </x:c>
      <x:c r="I26" s="14" t="n">
        <x:f>C26*H26</x:f>
        <x:v>823045.2666666667</x:v>
      </x:c>
      <x:c r="J26" s="15" t="n">
        <x:v>1</x:v>
      </x:c>
      <x:c r="K26" s="14" t="n">
        <x:f>I26*J26</x:f>
        <x:v>823045.2666666667</x:v>
      </x:c>
      <x:c r="L26" s="14" t="n">
        <x:f>I26-K26</x:f>
        <x:v>0</x:v>
      </x:c>
      <x:c r="M26" s="1" t="str">
        <x:v>BASE</x:v>
      </x:c>
      <x:c r="N26" s="10" t="str">
        <x:v>R$ 444,44/m. Separar valas/dutos, cabos, transformadores e iluminação.</x:v>
      </x:c>
      <x:c r="O26" s="1"/>
      <x:c r="P26" s="1"/>
    </x:row>
    <x:row r="27" ht="62" customHeight="1">
      <x:c r="A27" s="1"/>
      <x:c r="B27" s="10" t="str">
        <x:v>B24 Fibra óptica - 10 km hipotéticos</x:v>
      </x:c>
      <x:c r="C27" s="10" t="n">
        <x:v>1</x:v>
      </x:c>
      <x:c r="D27" s="10" t="str">
        <x:v>verba recebida</x:v>
      </x:c>
      <x:c r="E27" s="14" t="n">
        <x:f>444444.44/Premissas!$C$9</x:f>
        <x:v>82304.52592592592</x:v>
      </x:c>
      <x:c r="F27" s="14" t="n">
        <x:f>444444.44/Premissas!$C$9</x:f>
        <x:v>82304.52592592592</x:v>
      </x:c>
      <x:c r="G27" s="14" t="n">
        <x:f>444444.44/Premissas!$C$9</x:f>
        <x:v>82304.52592592592</x:v>
      </x:c>
      <x:c r="H27" s="14" t="n">
        <x:f>INDEX(E27:G27,1,Premissas!$C$7)</x:f>
        <x:v>82304.52592592592</x:v>
      </x:c>
      <x:c r="I27" s="14" t="n">
        <x:f>C27*H27</x:f>
        <x:v>82304.52592592592</x:v>
      </x:c>
      <x:c r="J27" s="15" t="n">
        <x:v>1</x:v>
      </x:c>
      <x:c r="K27" s="14" t="n">
        <x:f>I27*J27</x:f>
        <x:v>82304.52592592592</x:v>
      </x:c>
      <x:c r="L27" s="14" t="n">
        <x:f>I27-K27</x:f>
        <x:v>0</x:v>
      </x:c>
      <x:c r="M27" s="1" t="str">
        <x:v>BASE</x:v>
      </x:c>
      <x:c r="N27" s="10" t="str">
        <x:v>R$ 44,44/m. Verificar se a obra civil já está na linha 29.</x:v>
      </x:c>
      <x:c r="O27" s="1"/>
      <x:c r="P27" s="1"/>
    </x:row>
    <x:row r="28" ht="62" customHeight="1">
      <x:c r="A28" s="1"/>
      <x:c r="B28" s="10" t="str">
        <x:v>B25 Paisagismo - verba exclusiva confirmada</x:v>
      </x:c>
      <x:c r="C28" s="10" t="n">
        <x:v>1</x:v>
      </x:c>
      <x:c r="D28" s="10" t="str">
        <x:v>verba recebida</x:v>
      </x:c>
      <x:c r="E28" s="14" t="n">
        <x:f>45000000/Premissas!$C$9</x:f>
        <x:v>8333333.333333333</x:v>
      </x:c>
      <x:c r="F28" s="14" t="n">
        <x:f>45000000/Premissas!$C$9</x:f>
        <x:v>8333333.333333333</x:v>
      </x:c>
      <x:c r="G28" s="14" t="n">
        <x:f>45000000/Premissas!$C$9</x:f>
        <x:v>8333333.333333333</x:v>
      </x:c>
      <x:c r="H28" s="14" t="n">
        <x:f>INDEX(E28:G28,1,Premissas!$C$7)</x:f>
        <x:v>8333333.333333333</x:v>
      </x:c>
      <x:c r="I28" s="14" t="n">
        <x:f>C28*H28</x:f>
        <x:v>8333333.333333333</x:v>
      </x:c>
      <x:c r="J28" s="15" t="n">
        <x:v>0.5</x:v>
      </x:c>
      <x:c r="K28" s="14" t="n">
        <x:f>I28*J28</x:f>
        <x:v>4166666.6666666665</x:v>
      </x:c>
      <x:c r="L28" s="14" t="n">
        <x:f>I28-K28</x:f>
        <x:v>4166666.6666666665</x:v>
      </x:c>
      <x:c r="M28" s="1" t="str">
        <x:v>BASE</x:v>
      </x:c>
      <x:c r="N28" s="10" t="str">
        <x:v>R$ 45 mi exclusivamente de paisagismo. Detalhar áreas, espécies, plantio, irrigação e manutenção. Não cobre ruas, redes, drenagem, esgoto, projetos gerais ou equipamentos.</x:v>
      </x:c>
      <x:c r="O28" s="1"/>
      <x:c r="P28" s="1"/>
    </x:row>
    <x:row r="29" ht="62" customHeight="1">
      <x:c r="A29" s="1"/>
      <x:c r="B29" s="10" t="str">
        <x:v>B26 Licenças do residencial</x:v>
      </x:c>
      <x:c r="C29" s="10" t="n">
        <x:v>1</x:v>
      </x:c>
      <x:c r="D29" s="10" t="str">
        <x:v>verba recebida</x:v>
      </x:c>
      <x:c r="E29" s="14" t="n">
        <x:f>4000000/Premissas!$C$9</x:f>
        <x:v>740740.7407407407</x:v>
      </x:c>
      <x:c r="F29" s="14" t="n">
        <x:f>4000000/Premissas!$C$9</x:f>
        <x:v>740740.7407407407</x:v>
      </x:c>
      <x:c r="G29" s="14" t="n">
        <x:f>4000000/Premissas!$C$9</x:f>
        <x:v>740740.7407407407</x:v>
      </x:c>
      <x:c r="H29" s="14" t="n">
        <x:f>INDEX(E29:G29,1,Premissas!$C$7)</x:f>
        <x:v>740740.7407407407</x:v>
      </x:c>
      <x:c r="I29" s="14" t="n">
        <x:f>C29*H29</x:f>
        <x:v>740740.7407407407</x:v>
      </x:c>
      <x:c r="J29" s="15" t="n">
        <x:v>1</x:v>
      </x:c>
      <x:c r="K29" s="14" t="n">
        <x:f>I29*J29</x:f>
        <x:v>740740.7407407407</x:v>
      </x:c>
      <x:c r="L29" s="14" t="n">
        <x:f>I29-K29</x:f>
        <x:v>0</x:v>
      </x:c>
      <x:c r="M29" s="1" t="str">
        <x:v>BASE</x:v>
      </x:c>
      <x:c r="N29" s="10" t="str">
        <x:v>R$ 4 mi sem memória. Listar órgão, ato, base e taxa aplicável.</x:v>
      </x:c>
      <x:c r="O29" s="1"/>
      <x:c r="P29" s="1"/>
    </x:row>
    <x:row r="30" ht="62" customHeight="1">
      <x:c r="A30" s="1"/>
      <x:c r="B30" s="10" t="str">
        <x:v>B27 Centro operacional de 150 m²</x:v>
      </x:c>
      <x:c r="C30" s="10" t="n">
        <x:v>1</x:v>
      </x:c>
      <x:c r="D30" s="10" t="str">
        <x:v>verba recebida</x:v>
      </x:c>
      <x:c r="E30" s="14" t="n">
        <x:f>1350000/Premissas!$C$9</x:f>
        <x:v>249999.99999999997</x:v>
      </x:c>
      <x:c r="F30" s="14" t="n">
        <x:f>1350000/Premissas!$C$9</x:f>
        <x:v>249999.99999999997</x:v>
      </x:c>
      <x:c r="G30" s="14" t="n">
        <x:f>1350000/Premissas!$C$9</x:f>
        <x:v>249999.99999999997</x:v>
      </x:c>
      <x:c r="H30" s="14" t="n">
        <x:f>INDEX(E30:G30,1,Premissas!$C$7)</x:f>
        <x:v>249999.99999999997</x:v>
      </x:c>
      <x:c r="I30" s="14" t="n">
        <x:f>C30*H30</x:f>
        <x:v>249999.99999999997</x:v>
      </x:c>
      <x:c r="J30" s="15" t="n">
        <x:v>1</x:v>
      </x:c>
      <x:c r="K30" s="14" t="n">
        <x:f>I30*J30</x:f>
        <x:v>249999.99999999997</x:v>
      </x:c>
      <x:c r="L30" s="14" t="n">
        <x:f>I30-K30</x:f>
        <x:v>0</x:v>
      </x:c>
      <x:c r="M30" s="1" t="str">
        <x:v>BASE</x:v>
      </x:c>
      <x:c r="N30" s="10" t="str">
        <x:v>150 m², padrão, instalações e equipamentos de operação.</x:v>
      </x:c>
      <x:c r="O30" s="1"/>
      <x:c r="P30" s="1"/>
    </x:row>
    <x:row r="31" ht="62" customHeight="1">
      <x:c r="A31" s="1"/>
      <x:c r="B31" s="10" t="str">
        <x:v>B28 Portaria</x:v>
      </x:c>
      <x:c r="C31" s="10" t="n">
        <x:v>1</x:v>
      </x:c>
      <x:c r="D31" s="10" t="str">
        <x:v>verba recebida</x:v>
      </x:c>
      <x:c r="E31" s="14" t="n">
        <x:f>1100000/Premissas!$C$9</x:f>
        <x:v>203703.70370370368</x:v>
      </x:c>
      <x:c r="F31" s="14" t="n">
        <x:f>1100000/Premissas!$C$9</x:f>
        <x:v>203703.70370370368</x:v>
      </x:c>
      <x:c r="G31" s="14" t="n">
        <x:f>1100000/Premissas!$C$9</x:f>
        <x:v>203703.70370370368</x:v>
      </x:c>
      <x:c r="H31" s="14" t="n">
        <x:f>INDEX(E31:G31,1,Premissas!$C$7)</x:f>
        <x:v>203703.70370370368</x:v>
      </x:c>
      <x:c r="I31" s="14" t="n">
        <x:f>C31*H31</x:f>
        <x:v>203703.70370370368</x:v>
      </x:c>
      <x:c r="J31" s="15" t="n">
        <x:v>1</x:v>
      </x:c>
      <x:c r="K31" s="14" t="n">
        <x:f>I31*J31</x:f>
        <x:v>203703.70370370368</x:v>
      </x:c>
      <x:c r="L31" s="14" t="n">
        <x:f>I31-K31</x:f>
        <x:v>0</x:v>
      </x:c>
      <x:c r="M31" s="1" t="str">
        <x:v>BASE</x:v>
      </x:c>
      <x:c r="N31" s="10" t="str">
        <x:v>Área, estrutura, automação, segurança e instalações.</x:v>
      </x:c>
      <x:c r="O31" s="1"/>
      <x:c r="P31" s="1"/>
    </x:row>
    <x:row r="32" ht="62" customHeight="1">
      <x:c r="A32" s="1"/>
      <x:c r="B32" s="10" t="str">
        <x:v>B29 Dutos para energia e fibra - 10 km hipotéticos</x:v>
      </x:c>
      <x:c r="C32" s="10" t="n">
        <x:v>1</x:v>
      </x:c>
      <x:c r="D32" s="10" t="str">
        <x:v>verba recebida</x:v>
      </x:c>
      <x:c r="E32" s="14" t="n">
        <x:f>10000000/Premissas!$C$9</x:f>
        <x:v>1851851.8518518517</x:v>
      </x:c>
      <x:c r="F32" s="14" t="n">
        <x:f>10000000/Premissas!$C$9</x:f>
        <x:v>1851851.8518518517</x:v>
      </x:c>
      <x:c r="G32" s="14" t="n">
        <x:f>10000000/Premissas!$C$9</x:f>
        <x:v>1851851.8518518517</x:v>
      </x:c>
      <x:c r="H32" s="14" t="n">
        <x:f>INDEX(E32:G32,1,Premissas!$C$7)</x:f>
        <x:v>1851851.8518518517</x:v>
      </x:c>
      <x:c r="I32" s="14" t="n">
        <x:f>C32*H32</x:f>
        <x:v>1851851.8518518517</x:v>
      </x:c>
      <x:c r="J32" s="15" t="n">
        <x:v>0.5</x:v>
      </x:c>
      <x:c r="K32" s="14" t="n">
        <x:f>I32*J32</x:f>
        <x:v>925925.9259259258</x:v>
      </x:c>
      <x:c r="L32" s="14" t="n">
        <x:f>I32-K32</x:f>
        <x:v>925925.9259259258</x:v>
      </x:c>
      <x:c r="M32" s="1" t="str">
        <x:v>BASE</x:v>
      </x:c>
      <x:c r="N32" s="10" t="str">
        <x:v>R$ 1.000/m de dutos. Conferir duplicação com energia/fibra; não atribuir redes gerais ao paisagismo.</x:v>
      </x:c>
      <x:c r="O32" s="1"/>
      <x:c r="P32" s="1"/>
    </x:row>
    <x:row r="33" ht="62" customHeight="1">
      <x:c r="A33" s="1"/>
      <x:c r="B33" s="10" t="str">
        <x:v>B30 Gestão administrativa do desenvolvimento</x:v>
      </x:c>
      <x:c r="C33" s="10" t="n">
        <x:v>1</x:v>
      </x:c>
      <x:c r="D33" s="10" t="str">
        <x:v>verba recebida</x:v>
      </x:c>
      <x:c r="E33" s="14" t="n">
        <x:f>5000000/Premissas!$C$9</x:f>
        <x:v>925925.9259259258</x:v>
      </x:c>
      <x:c r="F33" s="14" t="n">
        <x:f>5000000/Premissas!$C$9</x:f>
        <x:v>925925.9259259258</x:v>
      </x:c>
      <x:c r="G33" s="14" t="n">
        <x:f>5000000/Premissas!$C$9</x:f>
        <x:v>925925.9259259258</x:v>
      </x:c>
      <x:c r="H33" s="14" t="n">
        <x:f>INDEX(E33:G33,1,Premissas!$C$7)</x:f>
        <x:v>925925.9259259258</x:v>
      </x:c>
      <x:c r="I33" s="14" t="n">
        <x:f>C33*H33</x:f>
        <x:v>925925.9259259258</x:v>
      </x:c>
      <x:c r="J33" s="15" t="n">
        <x:v>0.5</x:v>
      </x:c>
      <x:c r="K33" s="14" t="n">
        <x:f>I33*J33</x:f>
        <x:v>462962.9629629629</x:v>
      </x:c>
      <x:c r="L33" s="14" t="n">
        <x:f>I33-K33</x:f>
        <x:v>462962.9629629629</x:v>
      </x:c>
      <x:c r="M33" s="1" t="str">
        <x:v>BASE</x:v>
      </x:c>
      <x:c r="N33" s="10" t="str">
        <x:v>R$ 5 mi não correspondem a 10% dos custos diretos da planilha.</x:v>
      </x:c>
      <x:c r="O33" s="1"/>
      <x:c r="P33" s="1"/>
    </x:row>
    <x:row r="34" ht="62" customHeight="1">
      <x:c r="A34" s="1"/>
      <x:c r="B34" s="10" t="str">
        <x:v>C01 Esgoto, elevatórias e tratamento</x:v>
      </x:c>
      <x:c r="C34" s="10" t="n">
        <x:v>10000</x:v>
      </x:c>
      <x:c r="D34" s="10" t="str">
        <x:v>m de rede equivalente</x:v>
      </x:c>
      <x:c r="E34" s="14" t="n">
        <x:v>300</x:v>
      </x:c>
      <x:c r="F34" s="14" t="n">
        <x:v>500</x:v>
      </x:c>
      <x:c r="G34" s="14" t="n">
        <x:v>700</x:v>
      </x:c>
      <x:c r="H34" s="14" t="n">
        <x:f>INDEX(E34:G34,1,Premissas!$C$7)</x:f>
        <x:v>500</x:v>
      </x:c>
      <x:c r="I34" s="14" t="n">
        <x:f>C34*H34</x:f>
        <x:v>5000000</x:v>
      </x:c>
      <x:c r="J34" s="15" t="n">
        <x:v>0.65</x:v>
      </x:c>
      <x:c r="K34" s="14" t="n">
        <x:f>I34*J34</x:f>
        <x:v>3250000</x:v>
      </x:c>
      <x:c r="L34" s="14" t="n">
        <x:f>I34-K34</x:f>
        <x:v>1750000</x:v>
      </x:c>
      <x:c r="M34" s="1" t="str">
        <x:v>INF04</x:v>
      </x:c>
      <x:c r="N34" s="10" t="str">
        <x:v>10 km hipotéticos; rede, ramais, poços, elevatórias e tratamento. Envelope gerencial herdado do estudo; CYPE precifica apenas o coletor. Valas sanitárias aqui, sem repetir dutos B29.</x:v>
      </x:c>
      <x:c r="O34" s="1"/>
      <x:c r="P34" s="1"/>
    </x:row>
    <x:row r="35" ht="62" customHeight="1">
      <x:c r="A35" s="1"/>
      <x:c r="B35" s="10" t="str">
        <x:v>C02 Drenagem profunda fora do pavimento</x:v>
      </x:c>
      <x:c r="C35" s="10" t="n">
        <x:v>4000</x:v>
      </x:c>
      <x:c r="D35" s="10" t="str">
        <x:v>m equivalente</x:v>
      </x:c>
      <x:c r="E35" s="14" t="n">
        <x:v>200</x:v>
      </x:c>
      <x:c r="F35" s="14" t="n">
        <x:v>323.203</x:v>
      </x:c>
      <x:c r="G35" s="14" t="n">
        <x:v>500</x:v>
      </x:c>
      <x:c r="H35" s="14" t="n">
        <x:f>INDEX(E35:G35,1,Premissas!$C$7)</x:f>
        <x:v>323.203</x:v>
      </x:c>
      <x:c r="I35" s="14" t="n">
        <x:f>C35*H35</x:f>
        <x:v>1292812</x:v>
      </x:c>
      <x:c r="J35" s="15" t="n">
        <x:v>0.65</x:v>
      </x:c>
      <x:c r="K35" s="14" t="n">
        <x:f>I35*J35</x:f>
        <x:v>840327.8</x:v>
      </x:c>
      <x:c r="L35" s="14" t="n">
        <x:f>I35-K35</x:f>
        <x:v>452484.19999999995</x:v>
      </x:c>
      <x:c r="M35" s="1" t="str">
        <x:v>INF01</x:v>
      </x:c>
      <x:c r="N35" s="10" t="str">
        <x:v>4 km não medidos; galerias, caixas, travessias, descarga. Cunetas e drenagem superficial das vias ficam em B21. Valor gerencial do inventário anterior.</x:v>
      </x:c>
      <x:c r="O35" s="1"/>
      <x:c r="P35" s="1"/>
    </x:row>
    <x:row r="36" ht="62" customHeight="1">
      <x:c r="A36" s="1"/>
      <x:c r="B36" s="10" t="str">
        <x:v>C03 Terraplenagem geral e regularização</x:v>
      </x:c>
      <x:c r="C36" s="10" t="n">
        <x:v>100000</x:v>
      </x:c>
      <x:c r="D36" s="10" t="str">
        <x:v>m³ de estudo</x:v>
      </x:c>
      <x:c r="E36" s="14" t="n">
        <x:v>3</x:v>
      </x:c>
      <x:c r="F36" s="14" t="n">
        <x:v>8</x:v>
      </x:c>
      <x:c r="G36" s="14" t="n">
        <x:v>20</x:v>
      </x:c>
      <x:c r="H36" s="14" t="n">
        <x:f>INDEX(E36:G36,1,Premissas!$C$7)</x:f>
        <x:v>8</x:v>
      </x:c>
      <x:c r="I36" s="14" t="n">
        <x:f>C36*H36</x:f>
        <x:v>800000</x:v>
      </x:c>
      <x:c r="J36" s="15" t="n">
        <x:v>0.75</x:v>
      </x:c>
      <x:c r="K36" s="14" t="n">
        <x:f>I36*J36</x:f>
        <x:v>600000</x:v>
      </x:c>
      <x:c r="L36" s="14" t="n">
        <x:f>I36-K36</x:f>
        <x:v>200000</x:v>
      </x:c>
      <x:c r="M36" s="1" t="str">
        <x:v>INF06</x:v>
      </x:c>
      <x:c r="N36" s="10" t="str">
        <x:v>Hipótese 200.000 m² x 0,50 m equivalente. Inclui envelope de transporte e compactação; exclui escavação já nas vias, lagos, redes e fundações. Não dimensiona inundação.</x:v>
      </x:c>
      <x:c r="O36" s="1"/>
      <x:c r="P36" s="1"/>
    </x:row>
    <x:row r="37" ht="62" customHeight="1">
      <x:c r="A37" s="1"/>
      <x:c r="B37" s="10" t="str">
        <x:v>C04 Viveiro produtivo e apoio</x:v>
      </x:c>
      <x:c r="C37" s="10" t="n">
        <x:v>1</x:v>
      </x:c>
      <x:c r="D37" s="10" t="str">
        <x:v>conjunto de estudo</x:v>
      </x:c>
      <x:c r="E37" s="14" t="n">
        <x:v>25000</x:v>
      </x:c>
      <x:c r="F37" s="14" t="n">
        <x:v>40000</x:v>
      </x:c>
      <x:c r="G37" s="14" t="n">
        <x:v>65000</x:v>
      </x:c>
      <x:c r="H37" s="14" t="n">
        <x:f>INDEX(E37:G37,1,Premissas!$C$7)</x:f>
        <x:v>40000</x:v>
      </x:c>
      <x:c r="I37" s="14" t="n">
        <x:f>C37*H37</x:f>
        <x:v>40000</x:v>
      </x:c>
      <x:c r="J37" s="15" t="n">
        <x:v>0.5</x:v>
      </x:c>
      <x:c r="K37" s="14" t="n">
        <x:f>I37*J37</x:f>
        <x:v>20000</x:v>
      </x:c>
      <x:c r="L37" s="14" t="n">
        <x:f>I37-K37</x:f>
        <x:v>20000</x:v>
      </x:c>
      <x:c r="M37" s="1" t="str">
        <x:v>L04,L07</x:v>
      </x:c>
      <x:c r="N37" s="10" t="str">
        <x:v>200 m2 área produtiva sombreada + 40 m2 apoio; hipótese orçamentária, não projeto aprovado. Separar da horta linha 19 e paisagismo linha 25. Inclui estrutura produtiva, não plantio geral/espécies já alocadas no paisagismo. Se coberto por contrato de paisagismo, substituir parcela, não somar.</x:v>
      </x:c>
      <x:c r="O37" s="1"/>
      <x:c r="P37" s="1"/>
    </x:row>
    <x:row r="38" ht="62" customHeight="1">
      <x:c r="A38" s="1"/>
      <x:c r="B38" s="10" t="str">
        <x:v>C05 Quiosques independentes de apoio ao lazer</x:v>
      </x:c>
      <x:c r="C38" s="10" t="n">
        <x:v>4</x:v>
      </x:c>
      <x:c r="D38" s="10" t="str">
        <x:v>unidade de estudo</x:v>
      </x:c>
      <x:c r="E38" s="14" t="n">
        <x:v>10000</x:v>
      </x:c>
      <x:c r="F38" s="14" t="n">
        <x:v>15000</x:v>
      </x:c>
      <x:c r="G38" s="14" t="n">
        <x:v>25000</x:v>
      </x:c>
      <x:c r="H38" s="14" t="n">
        <x:f>INDEX(E38:G38,1,Premissas!$C$7)</x:f>
        <x:v>15000</x:v>
      </x:c>
      <x:c r="I38" s="14" t="n">
        <x:f>C38*H38</x:f>
        <x:v>60000</x:v>
      </x:c>
      <x:c r="J38" s="15" t="n">
        <x:v>0.5</x:v>
      </x:c>
      <x:c r="K38" s="14" t="n">
        <x:f>I38*J38</x:f>
        <x:v>30000</x:v>
      </x:c>
      <x:c r="L38" s="14" t="n">
        <x:f>I38-K38</x:f>
        <x:v>30000</x:v>
      </x:c>
      <x:c r="M38" s="1" t="str">
        <x:v>L01,L04</x:v>
      </x:c>
      <x:c r="N38" s="10" t="str">
        <x:v>4 x 25 m2 cobertos = 100m2; quantidade/área hipotéticas para provisionar, não determinação de projeto. Acréscimo somente para quiosques independentes. Não inclui restaurantes, bares molhados ou quatro centros de conveniência de 90m2 já na planilha. Não pode representar os mesmos edifícios.</x:v>
      </x:c>
      <x:c r="O38" s="1"/>
      <x:c r="P38" s="1"/>
    </x:row>
    <x:row r="39" ht="62" customHeight="1">
      <x:c r="A39" s="1"/>
      <x:c r="B39" s="10" t="str">
        <x:v>C06 Três pontos de coleta seletiva com porta por aproximação</x:v>
      </x:c>
      <x:c r="C39" s="10" t="n">
        <x:v>3</x:v>
      </x:c>
      <x:c r="D39" s="10" t="str">
        <x:v>ponto</x:v>
      </x:c>
      <x:c r="E39" s="14" t="n">
        <x:v>5000</x:v>
      </x:c>
      <x:c r="F39" s="14" t="n">
        <x:v>8000</x:v>
      </x:c>
      <x:c r="G39" s="14" t="n">
        <x:v>12000</x:v>
      </x:c>
      <x:c r="H39" s="14" t="n">
        <x:f>INDEX(E39:G39,1,Premissas!$C$7)</x:f>
        <x:v>8000</x:v>
      </x:c>
      <x:c r="I39" s="14" t="n">
        <x:f>C39*H39</x:f>
        <x:v>24000</x:v>
      </x:c>
      <x:c r="J39" s="15" t="n">
        <x:v>1</x:v>
      </x:c>
      <x:c r="K39" s="14" t="n">
        <x:f>I39*J39</x:f>
        <x:v>24000</x:v>
      </x:c>
      <x:c r="L39" s="14" t="n">
        <x:f>I39-K39</x:f>
        <x:v>0</x:v>
      </x:c>
      <x:c r="M39" s="1" t="str">
        <x:v>L02</x:v>
      </x:c>
      <x:c r="N39" s="10" t="str">
        <x:v>5 frações x 240L por ponto; 15 recipientes; 1200L por ponto; capacidade de estudo. Somente implantação. Operação/coleta recorrente no OPEX. Contentor manual não comprova porta automática. Estoque atual não atende pedido de 15.</x:v>
      </x:c>
      <x:c r="O39" s="1"/>
      <x:c r="P39" s="1"/>
    </x:row>
    <x:row r="40" ht="62" customHeight="1">
      <x:c r="A40" s="1"/>
      <x:c r="B40" s="10" t="str">
        <x:v>C07 Heliponto térreo diurno e apoio</x:v>
      </x:c>
      <x:c r="C40" s="10" t="n">
        <x:v>1</x:v>
      </x:c>
      <x:c r="D40" s="10" t="str">
        <x:v>conjunto provisionado</x:v>
      </x:c>
      <x:c r="E40" s="14" t="n">
        <x:v>180000</x:v>
      </x:c>
      <x:c r="F40" s="14" t="n">
        <x:v>350000</x:v>
      </x:c>
      <x:c r="G40" s="14" t="n">
        <x:v>650000</x:v>
      </x:c>
      <x:c r="H40" s="14" t="n">
        <x:f>INDEX(E40:G40,1,Premissas!$C$7)</x:f>
        <x:v>350000</x:v>
      </x:c>
      <x:c r="I40" s="14" t="n">
        <x:f>C40*H40</x:f>
        <x:v>350000</x:v>
      </x:c>
      <x:c r="J40" s="15" t="n">
        <x:v>0</x:v>
      </x:c>
      <x:c r="K40" s="14" t="n">
        <x:f>I40*J40</x:f>
        <x:v>0</x:v>
      </x:c>
      <x:c r="L40" s="14" t="n">
        <x:f>I40-K40</x:f>
        <x:v>350000</x:v>
      </x:c>
      <x:c r="M40" s="1" t="str">
        <x:v>L03,L04,L08</x:v>
      </x:c>
      <x:c r="N40" s="10" t="str">
        <x:v>900m2 área de intervenção e 50m2 apoio como envelopes financeiros; não são FATO/TLOF aprovadas. Exclui compra/aeronave, hangar, combustível e operação noturna. Não usar piso industrial comum como especificação aeronáutica. Projeto de solo, aeronave, obstáculos e DINAC podem exceder intervalo; provisão não é teto nem aprovação.</x:v>
      </x:c>
      <x:c r="O40" s="1"/>
      <x:c r="P40" s="1"/>
    </x:row>
    <x:row r="41" ht="62" customHeight="1">
      <x:c r="A41" s="1"/>
      <x:c r="B41" s="10" t="str">
        <x:v>C08 Fechamento perimetral e controle de acessos</x:v>
      </x:c>
      <x:c r="C41" s="10" t="n">
        <x:v>5000</x:v>
      </x:c>
      <x:c r="D41" s="10" t="str">
        <x:v>m hipotético</x:v>
      </x:c>
      <x:c r="E41" s="14" t="n">
        <x:v>90</x:v>
      </x:c>
      <x:c r="F41" s="14" t="n">
        <x:v>150</x:v>
      </x:c>
      <x:c r="G41" s="14" t="n">
        <x:v>240</x:v>
      </x:c>
      <x:c r="H41" s="14" t="n">
        <x:f>INDEX(E41:G41,1,Premissas!$C$7)</x:f>
        <x:v>150</x:v>
      </x:c>
      <x:c r="I41" s="14" t="n">
        <x:f>C41*H41</x:f>
        <x:v>750000</x:v>
      </x:c>
      <x:c r="J41" s="15" t="n">
        <x:v>0.6</x:v>
      </x:c>
      <x:c r="K41" s="14" t="n">
        <x:f>I41*J41</x:f>
        <x:v>450000</x:v>
      </x:c>
      <x:c r="L41" s="14" t="n">
        <x:f>I41-K41</x:f>
        <x:v>300000</x:v>
      </x:c>
      <x:c r="M41" s="1" t="str">
        <x:v>HIP</x:v>
      </x:c>
      <x:c r="N41" s="10" t="str">
        <x:v>5 km de envelope, USD150/m central com bases, cerca/muro misto e instalação. Perímetro não medido; portaria B28 permanece separada. Valor gerencial, sem preço local equivalente.</x:v>
      </x:c>
      <x:c r="O41" s="1"/>
      <x:c r="P41" s="1"/>
    </x:row>
    <x:row r="42" ht="62" customHeight="1">
      <x:c r="A42" s="1"/>
      <x:c r="B42" s="10" t="str">
        <x:v>C09 Iluminação, CFTV e automação de segurança</x:v>
      </x:c>
      <x:c r="C42" s="10" t="n">
        <x:v>1</x:v>
      </x:c>
      <x:c r="D42" s="10" t="str">
        <x:v>conjunto</x:v>
      </x:c>
      <x:c r="E42" s="14" t="n">
        <x:v>350000</x:v>
      </x:c>
      <x:c r="F42" s="14" t="n">
        <x:v>650000</x:v>
      </x:c>
      <x:c r="G42" s="14" t="n">
        <x:v>1100000</x:v>
      </x:c>
      <x:c r="H42" s="14" t="n">
        <x:f>INDEX(E42:G42,1,Premissas!$C$7)</x:f>
        <x:v>650000</x:v>
      </x:c>
      <x:c r="I42" s="14" t="n">
        <x:f>C42*H42</x:f>
        <x:v>650000</x:v>
      </x:c>
      <x:c r="J42" s="15" t="n">
        <x:v>0.7</x:v>
      </x:c>
      <x:c r="K42" s="14" t="n">
        <x:f>I42*J42</x:f>
        <x:v>455000</x:v>
      </x:c>
      <x:c r="L42" s="14" t="n">
        <x:f>I42-K42</x:f>
        <x:v>195000</x:v>
      </x:c>
      <x:c r="M42" s="1" t="str">
        <x:v>HIP</x:v>
      </x:c>
      <x:c r="N42" s="10" t="str">
        <x:v>200 pontos de luz a USD2.000 + USD250.000 CFTV/controle. Quantidades e preços gerenciais. B23 cabos/energia; B29 valas/dutos; não incluir esses serviços novamente aqui.</x:v>
      </x:c>
      <x:c r="O42" s="1"/>
      <x:c r="P42" s="1"/>
    </x:row>
    <x:row r="43" ht="62" customHeight="1">
      <x:c r="A43" s="1"/>
      <x:c r="B43" s="10" t="str">
        <x:v>C10 Projetos, topografia, geotecnia e fiscalização</x:v>
      </x:c>
      <x:c r="C43" s="10" t="n">
        <x:v>1</x:v>
      </x:c>
      <x:c r="D43" s="10" t="str">
        <x:v>pacote técnico</x:v>
      </x:c>
      <x:c r="E43" s="14" t="n">
        <x:v>700000</x:v>
      </x:c>
      <x:c r="F43" s="14" t="n">
        <x:v>1200000</x:v>
      </x:c>
      <x:c r="G43" s="14" t="n">
        <x:v>2000000</x:v>
      </x:c>
      <x:c r="H43" s="14" t="n">
        <x:f>INDEX(E43:G43,1,Premissas!$C$7)</x:f>
        <x:v>1200000</x:v>
      </x:c>
      <x:c r="I43" s="14" t="n">
        <x:f>C43*H43</x:f>
        <x:v>1200000</x:v>
      </x:c>
      <x:c r="J43" s="15" t="n">
        <x:v>0.65</x:v>
      </x:c>
      <x:c r="K43" s="14" t="n">
        <x:f>I43*J43</x:f>
        <x:v>780000</x:v>
      </x:c>
      <x:c r="L43" s="14" t="n">
        <x:f>I43-K43</x:f>
        <x:v>420000</x:v>
      </x:c>
      <x:c r="M43" s="1" t="str">
        <x:v>HIP</x:v>
      </x:c>
      <x:c r="N43" s="10" t="str">
        <x:v>Envelope técnico USD1,2mi = 60 meses x USD20mil médios. Topografia, geotecnia, projetos e fiscalização externa. B26 recebe taxas/licenças; B30 gestão administrativa. Estudo aeronáutico específico fica no heliponto.</x:v>
      </x:c>
      <x:c r="O43" s="1"/>
      <x:c r="P43" s="1"/>
    </x:row>
    <x:row r="44" ht="62" customHeight="1">
      <x:c r="A44" s="1"/>
      <x:c r="B44" s="10" t="str">
        <x:v>C11 Adequações externas e solo: provisão de risco</x:v>
      </x:c>
      <x:c r="C44" s="10" t="n">
        <x:v>1</x:v>
      </x:c>
      <x:c r="D44" s="10" t="str">
        <x:v>envelope provisório</x:v>
      </x:c>
      <x:c r="E44" s="14" t="n">
        <x:v>500000</x:v>
      </x:c>
      <x:c r="F44" s="14" t="n">
        <x:v>2000000</x:v>
      </x:c>
      <x:c r="G44" s="14" t="n">
        <x:v>5000000</x:v>
      </x:c>
      <x:c r="H44" s="14" t="n">
        <x:f>INDEX(E44:G44,1,Premissas!$C$7)</x:f>
        <x:v>2000000</x:v>
      </x:c>
      <x:c r="I44" s="14" t="n">
        <x:f>C44*H44</x:f>
        <x:v>2000000</x:v>
      </x:c>
      <x:c r="J44" s="15" t="n">
        <x:v>0.75</x:v>
      </x:c>
      <x:c r="K44" s="14" t="n">
        <x:f>I44*J44</x:f>
        <x:v>1500000</x:v>
      </x:c>
      <x:c r="L44" s="14" t="n">
        <x:f>I44-K44</x:f>
        <x:v>500000</x:v>
      </x:c>
      <x:c r="M44" s="1" t="str">
        <x:v>HIP</x:v>
      </x:c>
      <x:c r="N44" s="10" t="str">
        <x:v>Reserva de escopo para ligação externa e medidas de solo ainda desconhecidas. Não é custo de contenção de cheias dimensionado. Não substitui viabilidade geotécnica e ambiental. Não cobrir os mesmos eventos na contingência.</x:v>
      </x:c>
      <x:c r="O44" s="1"/>
      <x:c r="P44" s="1"/>
    </x:row>
    <x:row r="45" ht="23" customHeight="1">
      <x:c r="A45" s="1"/>
      <x:c r="B45" s="1"/>
      <x:c r="C45" s="1"/>
      <x:c r="D45" s="1"/>
      <x:c r="E45" s="14"/>
      <x:c r="F45" s="14"/>
      <x:c r="G45" s="14"/>
      <x:c r="H45" s="14"/>
      <x:c r="I45" s="14"/>
      <x:c r="J45" s="1"/>
      <x:c r="K45" s="1"/>
      <x:c r="L45" s="1"/>
      <x:c r="M45" s="1"/>
      <x:c r="N45" s="1"/>
      <x:c r="O45" s="1"/>
      <x:c r="P45" s="1"/>
    </x:row>
    <x:row r="46" ht="23" customHeight="1">
      <x:c r="A46" s="1"/>
      <x:c r="B46" s="1" t="str">
        <x:v>Soma dos itens de estudo recebidos — não é o capital confirmado</x:v>
      </x:c>
      <x:c r="C46" s="1"/>
      <x:c r="D46" s="1"/>
      <x:c r="E46" s="14"/>
      <x:c r="F46" s="14"/>
      <x:c r="G46" s="14"/>
      <x:c r="H46" s="14"/>
      <x:c r="I46" s="14" t="n">
        <x:f>SUM(I7:I44)</x:f>
        <x:v>46557758.5</x:v>
      </x:c>
      <x:c r="J46" s="1"/>
      <x:c r="K46" s="1"/>
      <x:c r="L46" s="1"/>
      <x:c r="M46" s="1"/>
      <x:c r="N46" s="1"/>
      <x:c r="O46" s="1"/>
      <x:c r="P46" s="1"/>
    </x:row>
    <x:row r="47" ht="23" customHeight="1">
      <x:c r="A47" s="1"/>
      <x:c r="B47" s="1"/>
      <x:c r="C47" s="1"/>
      <x:c r="D47" s="1"/>
      <x:c r="E47" s="14"/>
      <x:c r="F47" s="14"/>
      <x:c r="G47" s="14"/>
      <x:c r="H47" s="14"/>
      <x:c r="I47" s="14"/>
      <x:c r="J47" s="1"/>
      <x:c r="K47" s="1"/>
      <x:c r="L47" s="1"/>
      <x:c r="M47" s="1"/>
      <x:c r="N47" s="1"/>
      <x:c r="O47" s="1"/>
      <x:c r="P47" s="1"/>
    </x:row>
    <x:row r="48" ht="23" customHeight="1">
      <x:c r="A48" s="1"/>
      <x:c r="B48" s="1"/>
      <x:c r="C48" s="1"/>
      <x:c r="D48" s="1"/>
      <x:c r="E48" s="14"/>
      <x:c r="F48" s="14"/>
      <x:c r="G48" s="14"/>
      <x:c r="H48" s="14"/>
      <x:c r="I48" s="14"/>
      <x:c r="J48" s="1"/>
      <x:c r="K48" s="1"/>
      <x:c r="L48" s="1"/>
      <x:c r="M48" s="1"/>
      <x:c r="N48" s="1"/>
      <x:c r="O48" s="1"/>
      <x:c r="P48" s="1"/>
    </x:row>
    <x:row r="49" ht="23" customHeight="1">
      <x:c r="A49" s="1"/>
      <x:c r="B49" s="1" t="str">
        <x:v>Implantação confirmada — base ativa</x:v>
      </x:c>
      <x:c r="C49" s="1"/>
      <x:c r="D49" s="1"/>
      <x:c r="E49" s="14"/>
      <x:c r="F49" s="14"/>
      <x:c r="G49" s="14"/>
      <x:c r="H49" s="14"/>
      <x:c r="I49" s="14" t="n">
        <x:f>Premissas!C32</x:f>
        <x:v>33486663</x:v>
      </x:c>
      <x:c r="J49" s="1"/>
      <x:c r="K49" s="1"/>
      <x:c r="L49" s="1"/>
      <x:c r="M49" s="1"/>
      <x:c r="N49" s="1"/>
      <x:c r="O49" s="1"/>
      <x:c r="P49" s="1"/>
    </x:row>
    <x:row r="50" ht="23" customHeight="1">
      <x:c r="A50" s="1"/>
      <x:c r="B50" s="1" t="str">
        <x:v>Aquisição da terra</x:v>
      </x:c>
      <x:c r="C50" s="1"/>
      <x:c r="D50" s="1"/>
      <x:c r="E50" s="14"/>
      <x:c r="F50" s="14"/>
      <x:c r="G50" s="14"/>
      <x:c r="H50" s="14"/>
      <x:c r="I50" s="14" t="n">
        <x:f>Premissas!C11</x:f>
        <x:v>16500000</x:v>
      </x:c>
      <x:c r="J50" s="1"/>
      <x:c r="K50" s="1"/>
      <x:c r="L50" s="1"/>
      <x:c r="M50" s="1"/>
      <x:c r="N50" s="1"/>
      <x:c r="O50" s="1"/>
      <x:c r="P50" s="1"/>
    </x:row>
    <x:row r="51" ht="23" customHeight="1">
      <x:c r="A51" s="1"/>
      <x:c r="B51" s="1"/>
      <x:c r="C51" s="1"/>
      <x:c r="D51" s="1"/>
      <x:c r="E51" s="14"/>
      <x:c r="F51" s="14"/>
      <x:c r="G51" s="14"/>
      <x:c r="H51" s="14"/>
      <x:c r="I51" s="14"/>
      <x:c r="J51" s="1"/>
      <x:c r="K51" s="1"/>
      <x:c r="L51" s="1"/>
      <x:c r="M51" s="1"/>
      <x:c r="N51" s="1"/>
      <x:c r="O51" s="1"/>
      <x:c r="P51" s="1"/>
    </x:row>
    <x:row r="52" ht="23" customHeight="1">
      <x:c r="A52" s="1"/>
      <x:c r="B52" s="1"/>
      <x:c r="C52" s="1"/>
      <x:c r="D52" s="1"/>
      <x:c r="E52" s="14"/>
      <x:c r="F52" s="14"/>
      <x:c r="G52" s="14"/>
      <x:c r="H52" s="14"/>
      <x:c r="I52" s="14"/>
      <x:c r="J52" s="1"/>
      <x:c r="K52" s="1"/>
      <x:c r="L52" s="1"/>
      <x:c r="M52" s="1"/>
      <x:c r="N52" s="1"/>
      <x:c r="O52" s="1"/>
      <x:c r="P52" s="1"/>
    </x:row>
    <x:row r="53" ht="23" customHeight="1">
      <x:c r="A53" s="1"/>
      <x:c r="B53" s="1"/>
      <x:c r="C53" s="1"/>
      <x:c r="D53" s="1"/>
      <x:c r="E53" s="14"/>
      <x:c r="F53" s="14"/>
      <x:c r="G53" s="14"/>
      <x:c r="H53" s="14"/>
      <x:c r="I53" s="14"/>
      <x:c r="J53" s="1"/>
      <x:c r="K53" s="1"/>
      <x:c r="L53" s="1"/>
      <x:c r="M53" s="1"/>
      <x:c r="N53" s="1"/>
      <x:c r="O53" s="1"/>
      <x:c r="P53" s="1"/>
    </x:row>
    <x:row r="54" ht="23" customHeight="1">
      <x:c r="A54" s="1"/>
      <x:c r="B54" s="1"/>
      <x:c r="C54" s="1"/>
      <x:c r="D54" s="1"/>
      <x:c r="E54" s="14"/>
      <x:c r="F54" s="14"/>
      <x:c r="G54" s="14"/>
      <x:c r="H54" s="14"/>
      <x:c r="I54" s="14"/>
      <x:c r="J54" s="1"/>
      <x:c r="K54" s="1"/>
      <x:c r="L54" s="1"/>
      <x:c r="M54" s="1"/>
      <x:c r="N54" s="1"/>
      <x:c r="O54" s="1"/>
      <x:c r="P54" s="1"/>
    </x:row>
    <x:row r="55" ht="23" customHeight="1">
      <x:c r="A55" s="1"/>
      <x:c r="B55" s="1" t="str">
        <x:v>Capital confirmado — terreno e implantação</x:v>
      </x:c>
      <x:c r="C55" s="1"/>
      <x:c r="D55" s="1"/>
      <x:c r="E55" s="14"/>
      <x:c r="F55" s="14"/>
      <x:c r="G55" s="14"/>
      <x:c r="H55" s="14"/>
      <x:c r="I55" s="14" t="n">
        <x:f>SUM(I49:I50)</x:f>
        <x:v>49986663</x:v>
      </x:c>
      <x:c r="J55" s="1"/>
      <x:c r="K55" s="1"/>
      <x:c r="L55" s="1"/>
      <x:c r="M55" s="1"/>
      <x:c r="N55" s="1"/>
      <x:c r="O55" s="1"/>
      <x:c r="P55" s="1"/>
    </x:row>
    <x:row r="56" ht="23" customHeight="1">
      <x:c r="A56" s="1"/>
      <x:c r="B56" s="1"/>
      <x:c r="C56" s="1"/>
      <x:c r="D56" s="1"/>
      <x:c r="E56" s="14"/>
      <x:c r="F56" s="14"/>
      <x:c r="G56" s="14"/>
      <x:c r="H56" s="14"/>
      <x:c r="I56" s="14"/>
      <x:c r="J56" s="1"/>
      <x:c r="K56" s="1"/>
      <x:c r="L56" s="1"/>
      <x:c r="M56" s="1"/>
      <x:c r="N56" s="1"/>
      <x:c r="O56" s="1"/>
      <x:c r="P56" s="1"/>
    </x:row>
    <x:row r="57" ht="23" customHeight="1">
      <x:c r="A57" s="1"/>
      <x:c r="B57" s="1" t="str">
        <x:v>Terreno e implantação — total acumulado confirmado</x:v>
      </x:c>
      <x:c r="C57" s="1"/>
      <x:c r="D57" s="1"/>
      <x:c r="E57" s="14"/>
      <x:c r="F57" s="14"/>
      <x:c r="G57" s="14"/>
      <x:c r="H57" s="14"/>
      <x:c r="I57" s="14" t="n">
        <x:f>Premissas!C12</x:f>
        <x:v>49986663</x:v>
      </x:c>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c8e8c31999dd414c"/>
</x:worksheet>
</file>

<file path=xl/worksheets/sheet5.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 hidden="0" customWidth="1"/>
    <x:col min="2" max="2" width="8" hidden="0" customWidth="1"/>
    <x:col min="3" max="3" width="10"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22" hidden="0" customWidth="1"/>
    <x:col min="18" max="18" width="22"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Fluxo mensal</x:v>
      </x:c>
      <x:c r="C2" s="32"/>
      <x:c r="D2" s="32"/>
      <x:c r="E2" s="32"/>
      <x:c r="F2" s="32"/>
      <x:c r="G2" s="32"/>
      <x:c r="H2" s="32"/>
      <x:c r="I2" s="1"/>
      <x:c r="J2" s="1"/>
      <x:c r="K2" s="1"/>
      <x:c r="L2" s="1"/>
      <x:c r="M2" s="1"/>
      <x:c r="N2" s="1"/>
      <x:c r="O2" s="1"/>
      <x:c r="P2" s="1"/>
    </x:row>
    <x:row r="3" ht="26" customHeight="1">
      <x:c r="A3" s="1"/>
      <x:c r="B3" s="34" t="str">
        <x:v>Gislaine Araujo Silva | 03/11/2026 | USD</x:v>
      </x:c>
      <x:c r="C3" s="32"/>
      <x:c r="D3" s="32"/>
      <x:c r="E3" s="32"/>
      <x:c r="F3" s="32"/>
      <x:c r="G3" s="32"/>
      <x:c r="H3" s="32"/>
      <x:c r="I3" s="1"/>
      <x:c r="J3" s="1"/>
      <x:c r="K3" s="1"/>
      <x:c r="L3" s="1"/>
      <x:c r="M3" s="1"/>
      <x:c r="N3" s="1"/>
      <x:c r="O3" s="1"/>
      <x:c r="P3" s="1"/>
    </x:row>
    <x:row r="4" ht="23" customHeight="1">
      <x:c r="A4" s="1"/>
      <x:c r="B4" s="1" t="str">
        <x:v>Cronograma de pagamentos do capital não informado. Não distribuído artificialmente por mês. Vendas e recebimentos abaixo preservam a hipótese comercial da fonte.</x:v>
      </x:c>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Mês</x:v>
      </x:c>
      <x:c r="C6" s="8" t="str">
        <x:v>Ano do estudo</x:v>
      </x:c>
      <x:c r="D6" s="8" t="str">
        <x:v>Contratos brutos</x:v>
      </x:c>
      <x:c r="E6" s="8" t="str">
        <x:v>Recebimentos brutos</x:v>
      </x:c>
      <x:c r="F6" s="8"/>
      <x:c r="G6" s="8"/>
      <x:c r="H6" s="8"/>
      <x:c r="I6" s="8"/>
      <x:c r="J6" s="8"/>
      <x:c r="K6" s="8"/>
      <x:c r="L6" s="8"/>
      <x:c r="M6" s="8"/>
      <x:c r="N6" s="8"/>
      <x:c r="O6" s="8"/>
      <x:c r="P6" s="8" t="str">
        <x:v>Lotes equivalentes</x:v>
      </x:c>
      <x:c r="Q6" s="8"/>
      <x:c r="R6" s="8" t="str">
        <x:v>Marketing separado — hipótese de recebimento</x:v>
      </x:c>
    </x:row>
    <x:row r="7" ht="23" customHeight="1">
      <x:c r="A7" s="1"/>
      <x:c r="B7" s="1" t="n">
        <x:v>1</x:v>
      </x:c>
      <x:c r="C7" s="1" t="n">
        <x:f>INT((B7-1)/12)+1</x:f>
        <x:v>1</x:v>
      </x:c>
      <x:c r="D7" s="14" t="n">
        <x:f>IF(AND(B7&gt;=Premissas!$C$18,B7&lt;Premissas!$C$18+Premissas!$C$19),Premissas!$F$47/Premissas!$C$19,0)</x:f>
        <x:v>0</x:v>
      </x:c>
      <x:c r="E7" s="14" t="n">
        <x:f>D7*Premissas!$C$20+0*(1-Premissas!$C$20)/Premissas!$C$21</x:f>
        <x:v>0</x:v>
      </x:c>
      <x:c r="F7" s="14"/>
      <x:c r="G7" s="14"/>
      <x:c r="H7" s="14"/>
      <x:c r="I7" s="14"/>
      <x:c r="J7" s="14"/>
      <x:c r="K7" s="14"/>
      <x:c r="L7" s="14"/>
      <x:c r="M7" s="14"/>
      <x:c r="N7" s="14"/>
      <x:c r="O7" s="14"/>
      <x:c r="P7" s="16" t="n">
        <x:f>IF(Premissas!$F$47=0,0,D7/Premissas!$F$47*360)</x:f>
        <x:v>0</x:v>
      </x:c>
      <x:c r="Q7" s="19"/>
      <x:c r="R7" s="19" t="n">
        <x:f>D7*Premissas!$C$15</x:f>
        <x:v>0</x:v>
      </x:c>
    </x:row>
    <x:row r="8" ht="23" customHeight="1">
      <x:c r="A8" s="1"/>
      <x:c r="B8" s="1" t="n">
        <x:v>2</x:v>
      </x:c>
      <x:c r="C8" s="1" t="n">
        <x:f>INT((B8-1)/12)+1</x:f>
        <x:v>1</x:v>
      </x:c>
      <x:c r="D8" s="14" t="n">
        <x:f>IF(AND(B8&gt;=Premissas!$C$18,B8&lt;Premissas!$C$18+Premissas!$C$19),Premissas!$F$47/Premissas!$C$19,0)</x:f>
        <x:v>0</x:v>
      </x:c>
      <x:c r="E8" s="14" t="n">
        <x:f>D8*Premissas!$C$20+SUMPRODUCT($D$7:D7,--($B$7:B7&gt;=B8-Premissas!$C$21))*(1-Premissas!$C$20)/Premissas!$C$21</x:f>
        <x:v>0</x:v>
      </x:c>
      <x:c r="F8" s="14"/>
      <x:c r="G8" s="14"/>
      <x:c r="H8" s="14"/>
      <x:c r="I8" s="14"/>
      <x:c r="J8" s="14"/>
      <x:c r="K8" s="14"/>
      <x:c r="L8" s="14"/>
      <x:c r="M8" s="14"/>
      <x:c r="N8" s="14"/>
      <x:c r="O8" s="14"/>
      <x:c r="P8" s="16" t="n">
        <x:f>IF(Premissas!$F$47=0,0,D8/Premissas!$F$47*360)</x:f>
        <x:v>0</x:v>
      </x:c>
      <x:c r="Q8" s="19"/>
      <x:c r="R8" s="19" t="n">
        <x:f>D8*Premissas!$C$15</x:f>
        <x:v>0</x:v>
      </x:c>
    </x:row>
    <x:row r="9" ht="23" customHeight="1">
      <x:c r="A9" s="1"/>
      <x:c r="B9" s="1" t="n">
        <x:v>3</x:v>
      </x:c>
      <x:c r="C9" s="1" t="n">
        <x:f>INT((B9-1)/12)+1</x:f>
        <x:v>1</x:v>
      </x:c>
      <x:c r="D9" s="14" t="n">
        <x:f>IF(AND(B9&gt;=Premissas!$C$18,B9&lt;Premissas!$C$18+Premissas!$C$19),Premissas!$F$47/Premissas!$C$19,0)</x:f>
        <x:v>0</x:v>
      </x:c>
      <x:c r="E9" s="14" t="n">
        <x:f>D9*Premissas!$C$20+SUMPRODUCT($D$7:D8,--($B$7:B8&gt;=B9-Premissas!$C$21))*(1-Premissas!$C$20)/Premissas!$C$21</x:f>
        <x:v>0</x:v>
      </x:c>
      <x:c r="F9" s="14"/>
      <x:c r="G9" s="14"/>
      <x:c r="H9" s="14"/>
      <x:c r="I9" s="14"/>
      <x:c r="J9" s="14"/>
      <x:c r="K9" s="14"/>
      <x:c r="L9" s="14"/>
      <x:c r="M9" s="14"/>
      <x:c r="N9" s="14"/>
      <x:c r="O9" s="14"/>
      <x:c r="P9" s="16" t="n">
        <x:f>IF(Premissas!$F$47=0,0,D9/Premissas!$F$47*360)</x:f>
        <x:v>0</x:v>
      </x:c>
      <x:c r="Q9" s="19"/>
      <x:c r="R9" s="19" t="n">
        <x:f>D9*Premissas!$C$15</x:f>
        <x:v>0</x:v>
      </x:c>
    </x:row>
    <x:row r="10" ht="23" customHeight="1">
      <x:c r="A10" s="1"/>
      <x:c r="B10" s="1" t="n">
        <x:v>4</x:v>
      </x:c>
      <x:c r="C10" s="1" t="n">
        <x:f>INT((B10-1)/12)+1</x:f>
        <x:v>1</x:v>
      </x:c>
      <x:c r="D10" s="14" t="n">
        <x:f>IF(AND(B10&gt;=Premissas!$C$18,B10&lt;Premissas!$C$18+Premissas!$C$19),Premissas!$F$47/Premissas!$C$19,0)</x:f>
        <x:v>0</x:v>
      </x:c>
      <x:c r="E10" s="14" t="n">
        <x:f>D10*Premissas!$C$20+SUMPRODUCT($D$7:D9,--($B$7:B9&gt;=B10-Premissas!$C$21))*(1-Premissas!$C$20)/Premissas!$C$21</x:f>
        <x:v>0</x:v>
      </x:c>
      <x:c r="F10" s="14"/>
      <x:c r="G10" s="14"/>
      <x:c r="H10" s="14"/>
      <x:c r="I10" s="14"/>
      <x:c r="J10" s="14"/>
      <x:c r="K10" s="14"/>
      <x:c r="L10" s="14"/>
      <x:c r="M10" s="14"/>
      <x:c r="N10" s="14"/>
      <x:c r="O10" s="14"/>
      <x:c r="P10" s="16" t="n">
        <x:f>IF(Premissas!$F$47=0,0,D10/Premissas!$F$47*360)</x:f>
        <x:v>0</x:v>
      </x:c>
      <x:c r="Q10" s="19"/>
      <x:c r="R10" s="19" t="n">
        <x:f>D10*Premissas!$C$15</x:f>
        <x:v>0</x:v>
      </x:c>
    </x:row>
    <x:row r="11" ht="23" customHeight="1">
      <x:c r="A11" s="1"/>
      <x:c r="B11" s="1" t="n">
        <x:v>5</x:v>
      </x:c>
      <x:c r="C11" s="1" t="n">
        <x:f>INT((B11-1)/12)+1</x:f>
        <x:v>1</x:v>
      </x:c>
      <x:c r="D11" s="14" t="n">
        <x:f>IF(AND(B11&gt;=Premissas!$C$18,B11&lt;Premissas!$C$18+Premissas!$C$19),Premissas!$F$47/Premissas!$C$19,0)</x:f>
        <x:v>0</x:v>
      </x:c>
      <x:c r="E11" s="14" t="n">
        <x:f>D11*Premissas!$C$20+SUMPRODUCT($D$7:D10,--($B$7:B10&gt;=B11-Premissas!$C$21))*(1-Premissas!$C$20)/Premissas!$C$21</x:f>
        <x:v>0</x:v>
      </x:c>
      <x:c r="F11" s="14"/>
      <x:c r="G11" s="14"/>
      <x:c r="H11" s="14"/>
      <x:c r="I11" s="14"/>
      <x:c r="J11" s="14"/>
      <x:c r="K11" s="14"/>
      <x:c r="L11" s="14"/>
      <x:c r="M11" s="14"/>
      <x:c r="N11" s="14"/>
      <x:c r="O11" s="14"/>
      <x:c r="P11" s="16" t="n">
        <x:f>IF(Premissas!$F$47=0,0,D11/Premissas!$F$47*360)</x:f>
        <x:v>0</x:v>
      </x:c>
      <x:c r="Q11" s="19"/>
      <x:c r="R11" s="19" t="n">
        <x:f>D11*Premissas!$C$15</x:f>
        <x:v>0</x:v>
      </x:c>
    </x:row>
    <x:row r="12" ht="23" customHeight="1">
      <x:c r="A12" s="1"/>
      <x:c r="B12" s="1" t="n">
        <x:v>6</x:v>
      </x:c>
      <x:c r="C12" s="1" t="n">
        <x:f>INT((B12-1)/12)+1</x:f>
        <x:v>1</x:v>
      </x:c>
      <x:c r="D12" s="14" t="n">
        <x:f>IF(AND(B12&gt;=Premissas!$C$18,B12&lt;Premissas!$C$18+Premissas!$C$19),Premissas!$F$47/Premissas!$C$19,0)</x:f>
        <x:v>0</x:v>
      </x:c>
      <x:c r="E12" s="14" t="n">
        <x:f>D12*Premissas!$C$20+SUMPRODUCT($D$7:D11,--($B$7:B11&gt;=B12-Premissas!$C$21))*(1-Premissas!$C$20)/Premissas!$C$21</x:f>
        <x:v>0</x:v>
      </x:c>
      <x:c r="F12" s="14"/>
      <x:c r="G12" s="14"/>
      <x:c r="H12" s="14"/>
      <x:c r="I12" s="14"/>
      <x:c r="J12" s="14"/>
      <x:c r="K12" s="14"/>
      <x:c r="L12" s="14"/>
      <x:c r="M12" s="14"/>
      <x:c r="N12" s="14"/>
      <x:c r="O12" s="14"/>
      <x:c r="P12" s="16" t="n">
        <x:f>IF(Premissas!$F$47=0,0,D12/Premissas!$F$47*360)</x:f>
        <x:v>0</x:v>
      </x:c>
      <x:c r="Q12" s="19"/>
      <x:c r="R12" s="19" t="n">
        <x:f>D12*Premissas!$C$15</x:f>
        <x:v>0</x:v>
      </x:c>
    </x:row>
    <x:row r="13" ht="23" customHeight="1">
      <x:c r="A13" s="1"/>
      <x:c r="B13" s="1" t="n">
        <x:v>7</x:v>
      </x:c>
      <x:c r="C13" s="1" t="n">
        <x:f>INT((B13-1)/12)+1</x:f>
        <x:v>1</x:v>
      </x:c>
      <x:c r="D13" s="14" t="n">
        <x:f>IF(AND(B13&gt;=Premissas!$C$18,B13&lt;Premissas!$C$18+Premissas!$C$19),Premissas!$F$47/Premissas!$C$19,0)</x:f>
        <x:v>0</x:v>
      </x:c>
      <x:c r="E13" s="14" t="n">
        <x:f>D13*Premissas!$C$20+SUMPRODUCT($D$7:D12,--($B$7:B12&gt;=B13-Premissas!$C$21))*(1-Premissas!$C$20)/Premissas!$C$21</x:f>
        <x:v>0</x:v>
      </x:c>
      <x:c r="F13" s="14"/>
      <x:c r="G13" s="14"/>
      <x:c r="H13" s="14"/>
      <x:c r="I13" s="14"/>
      <x:c r="J13" s="14"/>
      <x:c r="K13" s="14"/>
      <x:c r="L13" s="14"/>
      <x:c r="M13" s="14"/>
      <x:c r="N13" s="14"/>
      <x:c r="O13" s="14"/>
      <x:c r="P13" s="16" t="n">
        <x:f>IF(Premissas!$F$47=0,0,D13/Premissas!$F$47*360)</x:f>
        <x:v>0</x:v>
      </x:c>
      <x:c r="Q13" s="19"/>
      <x:c r="R13" s="19" t="n">
        <x:f>D13*Premissas!$C$15</x:f>
        <x:v>0</x:v>
      </x:c>
    </x:row>
    <x:row r="14" ht="23" customHeight="1">
      <x:c r="A14" s="1"/>
      <x:c r="B14" s="1" t="n">
        <x:v>8</x:v>
      </x:c>
      <x:c r="C14" s="1" t="n">
        <x:f>INT((B14-1)/12)+1</x:f>
        <x:v>1</x:v>
      </x:c>
      <x:c r="D14" s="14" t="n">
        <x:f>IF(AND(B14&gt;=Premissas!$C$18,B14&lt;Premissas!$C$18+Premissas!$C$19),Premissas!$F$47/Premissas!$C$19,0)</x:f>
        <x:v>0</x:v>
      </x:c>
      <x:c r="E14" s="14" t="n">
        <x:f>D14*Premissas!$C$20+SUMPRODUCT($D$7:D13,--($B$7:B13&gt;=B14-Premissas!$C$21))*(1-Premissas!$C$20)/Premissas!$C$21</x:f>
        <x:v>0</x:v>
      </x:c>
      <x:c r="F14" s="14"/>
      <x:c r="G14" s="14"/>
      <x:c r="H14" s="14"/>
      <x:c r="I14" s="14"/>
      <x:c r="J14" s="14"/>
      <x:c r="K14" s="14"/>
      <x:c r="L14" s="14"/>
      <x:c r="M14" s="14"/>
      <x:c r="N14" s="14"/>
      <x:c r="O14" s="14"/>
      <x:c r="P14" s="16" t="n">
        <x:f>IF(Premissas!$F$47=0,0,D14/Premissas!$F$47*360)</x:f>
        <x:v>0</x:v>
      </x:c>
      <x:c r="Q14" s="19"/>
      <x:c r="R14" s="19" t="n">
        <x:f>D14*Premissas!$C$15</x:f>
        <x:v>0</x:v>
      </x:c>
    </x:row>
    <x:row r="15" ht="23" customHeight="1">
      <x:c r="A15" s="1"/>
      <x:c r="B15" s="1" t="n">
        <x:v>9</x:v>
      </x:c>
      <x:c r="C15" s="1" t="n">
        <x:f>INT((B15-1)/12)+1</x:f>
        <x:v>1</x:v>
      </x:c>
      <x:c r="D15" s="14" t="n">
        <x:f>IF(AND(B15&gt;=Premissas!$C$18,B15&lt;Premissas!$C$18+Premissas!$C$19),Premissas!$F$47/Premissas!$C$19,0)</x:f>
        <x:v>0</x:v>
      </x:c>
      <x:c r="E15" s="14" t="n">
        <x:f>D15*Premissas!$C$20+SUMPRODUCT($D$7:D14,--($B$7:B14&gt;=B15-Premissas!$C$21))*(1-Premissas!$C$20)/Premissas!$C$21</x:f>
        <x:v>0</x:v>
      </x:c>
      <x:c r="F15" s="14"/>
      <x:c r="G15" s="14"/>
      <x:c r="H15" s="14"/>
      <x:c r="I15" s="14"/>
      <x:c r="J15" s="14"/>
      <x:c r="K15" s="14"/>
      <x:c r="L15" s="14"/>
      <x:c r="M15" s="14"/>
      <x:c r="N15" s="14"/>
      <x:c r="O15" s="14"/>
      <x:c r="P15" s="16" t="n">
        <x:f>IF(Premissas!$F$47=0,0,D15/Premissas!$F$47*360)</x:f>
        <x:v>0</x:v>
      </x:c>
      <x:c r="Q15" s="19"/>
      <x:c r="R15" s="19" t="n">
        <x:f>D15*Premissas!$C$15</x:f>
        <x:v>0</x:v>
      </x:c>
    </x:row>
    <x:row r="16" ht="23" customHeight="1">
      <x:c r="A16" s="1"/>
      <x:c r="B16" s="1" t="n">
        <x:v>10</x:v>
      </x:c>
      <x:c r="C16" s="1" t="n">
        <x:f>INT((B16-1)/12)+1</x:f>
        <x:v>1</x:v>
      </x:c>
      <x:c r="D16" s="14" t="n">
        <x:f>IF(AND(B16&gt;=Premissas!$C$18,B16&lt;Premissas!$C$18+Premissas!$C$19),Premissas!$F$47/Premissas!$C$19,0)</x:f>
        <x:v>0</x:v>
      </x:c>
      <x:c r="E16" s="14" t="n">
        <x:f>D16*Premissas!$C$20+SUMPRODUCT($D$7:D15,--($B$7:B15&gt;=B16-Premissas!$C$21))*(1-Premissas!$C$20)/Premissas!$C$21</x:f>
        <x:v>0</x:v>
      </x:c>
      <x:c r="F16" s="14"/>
      <x:c r="G16" s="14"/>
      <x:c r="H16" s="14"/>
      <x:c r="I16" s="14"/>
      <x:c r="J16" s="14"/>
      <x:c r="K16" s="14"/>
      <x:c r="L16" s="14"/>
      <x:c r="M16" s="14"/>
      <x:c r="N16" s="14"/>
      <x:c r="O16" s="14"/>
      <x:c r="P16" s="16" t="n">
        <x:f>IF(Premissas!$F$47=0,0,D16/Premissas!$F$47*360)</x:f>
        <x:v>0</x:v>
      </x:c>
      <x:c r="Q16" s="19"/>
      <x:c r="R16" s="19" t="n">
        <x:f>D16*Premissas!$C$15</x:f>
        <x:v>0</x:v>
      </x:c>
    </x:row>
    <x:row r="17" ht="23" customHeight="1">
      <x:c r="A17" s="1"/>
      <x:c r="B17" s="1" t="n">
        <x:v>11</x:v>
      </x:c>
      <x:c r="C17" s="1" t="n">
        <x:f>INT((B17-1)/12)+1</x:f>
        <x:v>1</x:v>
      </x:c>
      <x:c r="D17" s="14" t="n">
        <x:f>IF(AND(B17&gt;=Premissas!$C$18,B17&lt;Premissas!$C$18+Premissas!$C$19),Premissas!$F$47/Premissas!$C$19,0)</x:f>
        <x:v>0</x:v>
      </x:c>
      <x:c r="E17" s="14" t="n">
        <x:f>D17*Premissas!$C$20+SUMPRODUCT($D$7:D16,--($B$7:B16&gt;=B17-Premissas!$C$21))*(1-Premissas!$C$20)/Premissas!$C$21</x:f>
        <x:v>0</x:v>
      </x:c>
      <x:c r="F17" s="14"/>
      <x:c r="G17" s="14"/>
      <x:c r="H17" s="14"/>
      <x:c r="I17" s="14"/>
      <x:c r="J17" s="14"/>
      <x:c r="K17" s="14"/>
      <x:c r="L17" s="14"/>
      <x:c r="M17" s="14"/>
      <x:c r="N17" s="14"/>
      <x:c r="O17" s="14"/>
      <x:c r="P17" s="16" t="n">
        <x:f>IF(Premissas!$F$47=0,0,D17/Premissas!$F$47*360)</x:f>
        <x:v>0</x:v>
      </x:c>
      <x:c r="Q17" s="19"/>
      <x:c r="R17" s="19" t="n">
        <x:f>D17*Premissas!$C$15</x:f>
        <x:v>0</x:v>
      </x:c>
    </x:row>
    <x:row r="18" ht="23" customHeight="1">
      <x:c r="A18" s="1"/>
      <x:c r="B18" s="1" t="n">
        <x:v>12</x:v>
      </x:c>
      <x:c r="C18" s="1" t="n">
        <x:f>INT((B18-1)/12)+1</x:f>
        <x:v>1</x:v>
      </x:c>
      <x:c r="D18" s="14" t="n">
        <x:f>IF(AND(B18&gt;=Premissas!$C$18,B18&lt;Premissas!$C$18+Premissas!$C$19),Premissas!$F$47/Premissas!$C$19,0)</x:f>
        <x:v>0</x:v>
      </x:c>
      <x:c r="E18" s="14" t="n">
        <x:f>D18*Premissas!$C$20+SUMPRODUCT($D$7:D17,--($B$7:B17&gt;=B18-Premissas!$C$21))*(1-Premissas!$C$20)/Premissas!$C$21</x:f>
        <x:v>0</x:v>
      </x:c>
      <x:c r="F18" s="14"/>
      <x:c r="G18" s="14"/>
      <x:c r="H18" s="14"/>
      <x:c r="I18" s="14"/>
      <x:c r="J18" s="14"/>
      <x:c r="K18" s="14"/>
      <x:c r="L18" s="14"/>
      <x:c r="M18" s="14"/>
      <x:c r="N18" s="14"/>
      <x:c r="O18" s="14"/>
      <x:c r="P18" s="16" t="n">
        <x:f>IF(Premissas!$F$47=0,0,D18/Premissas!$F$47*360)</x:f>
        <x:v>0</x:v>
      </x:c>
      <x:c r="Q18" s="19"/>
      <x:c r="R18" s="19" t="n">
        <x:f>D18*Premissas!$C$15</x:f>
        <x:v>0</x:v>
      </x:c>
    </x:row>
    <x:row r="19" ht="23" customHeight="1">
      <x:c r="A19" s="1"/>
      <x:c r="B19" s="1" t="n">
        <x:v>13</x:v>
      </x:c>
      <x:c r="C19" s="1" t="n">
        <x:f>INT((B19-1)/12)+1</x:f>
        <x:v>2</x:v>
      </x:c>
      <x:c r="D19" s="14" t="n">
        <x:f>IF(AND(B19&gt;=Premissas!$C$18,B19&lt;Premissas!$C$18+Premissas!$C$19),Premissas!$F$47/Premissas!$C$19,0)</x:f>
        <x:v>0</x:v>
      </x:c>
      <x:c r="E19" s="14" t="n">
        <x:f>D19*Premissas!$C$20+SUMPRODUCT($D$7:D18,--($B$7:B18&gt;=B19-Premissas!$C$21))*(1-Premissas!$C$20)/Premissas!$C$21</x:f>
        <x:v>0</x:v>
      </x:c>
      <x:c r="F19" s="14"/>
      <x:c r="G19" s="14"/>
      <x:c r="H19" s="14"/>
      <x:c r="I19" s="14"/>
      <x:c r="J19" s="14"/>
      <x:c r="K19" s="14"/>
      <x:c r="L19" s="14"/>
      <x:c r="M19" s="14"/>
      <x:c r="N19" s="14"/>
      <x:c r="O19" s="14"/>
      <x:c r="P19" s="16" t="n">
        <x:f>IF(Premissas!$F$47=0,0,D19/Premissas!$F$47*360)</x:f>
        <x:v>0</x:v>
      </x:c>
      <x:c r="Q19" s="19"/>
      <x:c r="R19" s="19" t="n">
        <x:f>D19*Premissas!$C$15</x:f>
        <x:v>0</x:v>
      </x:c>
    </x:row>
    <x:row r="20" ht="23" customHeight="1">
      <x:c r="A20" s="1"/>
      <x:c r="B20" s="1" t="n">
        <x:v>14</x:v>
      </x:c>
      <x:c r="C20" s="1" t="n">
        <x:f>INT((B20-1)/12)+1</x:f>
        <x:v>2</x:v>
      </x:c>
      <x:c r="D20" s="14" t="n">
        <x:f>IF(AND(B20&gt;=Premissas!$C$18,B20&lt;Premissas!$C$18+Premissas!$C$19),Premissas!$F$47/Premissas!$C$19,0)</x:f>
        <x:v>0</x:v>
      </x:c>
      <x:c r="E20" s="14" t="n">
        <x:f>D20*Premissas!$C$20+SUMPRODUCT($D$7:D19,--($B$7:B19&gt;=B20-Premissas!$C$21))*(1-Premissas!$C$20)/Premissas!$C$21</x:f>
        <x:v>0</x:v>
      </x:c>
      <x:c r="F20" s="14"/>
      <x:c r="G20" s="14"/>
      <x:c r="H20" s="14"/>
      <x:c r="I20" s="14"/>
      <x:c r="J20" s="14"/>
      <x:c r="K20" s="14"/>
      <x:c r="L20" s="14"/>
      <x:c r="M20" s="14"/>
      <x:c r="N20" s="14"/>
      <x:c r="O20" s="14"/>
      <x:c r="P20" s="16" t="n">
        <x:f>IF(Premissas!$F$47=0,0,D20/Premissas!$F$47*360)</x:f>
        <x:v>0</x:v>
      </x:c>
      <x:c r="Q20" s="19"/>
      <x:c r="R20" s="19" t="n">
        <x:f>D20*Premissas!$C$15</x:f>
        <x:v>0</x:v>
      </x:c>
    </x:row>
    <x:row r="21" ht="23" customHeight="1">
      <x:c r="A21" s="1"/>
      <x:c r="B21" s="1" t="n">
        <x:v>15</x:v>
      </x:c>
      <x:c r="C21" s="1" t="n">
        <x:f>INT((B21-1)/12)+1</x:f>
        <x:v>2</x:v>
      </x:c>
      <x:c r="D21" s="14" t="n">
        <x:f>IF(AND(B21&gt;=Premissas!$C$18,B21&lt;Premissas!$C$18+Premissas!$C$19),Premissas!$F$47/Premissas!$C$19,0)</x:f>
        <x:v>0</x:v>
      </x:c>
      <x:c r="E21" s="14" t="n">
        <x:f>D21*Premissas!$C$20+SUMPRODUCT($D$7:D20,--($B$7:B20&gt;=B21-Premissas!$C$21))*(1-Premissas!$C$20)/Premissas!$C$21</x:f>
        <x:v>0</x:v>
      </x:c>
      <x:c r="F21" s="14"/>
      <x:c r="G21" s="14"/>
      <x:c r="H21" s="14"/>
      <x:c r="I21" s="14"/>
      <x:c r="J21" s="14"/>
      <x:c r="K21" s="14"/>
      <x:c r="L21" s="14"/>
      <x:c r="M21" s="14"/>
      <x:c r="N21" s="14"/>
      <x:c r="O21" s="14"/>
      <x:c r="P21" s="16" t="n">
        <x:f>IF(Premissas!$F$47=0,0,D21/Premissas!$F$47*360)</x:f>
        <x:v>0</x:v>
      </x:c>
      <x:c r="Q21" s="19"/>
      <x:c r="R21" s="19" t="n">
        <x:f>D21*Premissas!$C$15</x:f>
        <x:v>0</x:v>
      </x:c>
    </x:row>
    <x:row r="22" ht="23" customHeight="1">
      <x:c r="A22" s="1"/>
      <x:c r="B22" s="1" t="n">
        <x:v>16</x:v>
      </x:c>
      <x:c r="C22" s="1" t="n">
        <x:f>INT((B22-1)/12)+1</x:f>
        <x:v>2</x:v>
      </x:c>
      <x:c r="D22" s="14" t="n">
        <x:f>IF(AND(B22&gt;=Premissas!$C$18,B22&lt;Premissas!$C$18+Premissas!$C$19),Premissas!$F$47/Premissas!$C$19,0)</x:f>
        <x:v>0</x:v>
      </x:c>
      <x:c r="E22" s="14" t="n">
        <x:f>D22*Premissas!$C$20+SUMPRODUCT($D$7:D21,--($B$7:B21&gt;=B22-Premissas!$C$21))*(1-Premissas!$C$20)/Premissas!$C$21</x:f>
        <x:v>0</x:v>
      </x:c>
      <x:c r="F22" s="14"/>
      <x:c r="G22" s="14"/>
      <x:c r="H22" s="14"/>
      <x:c r="I22" s="14"/>
      <x:c r="J22" s="14"/>
      <x:c r="K22" s="14"/>
      <x:c r="L22" s="14"/>
      <x:c r="M22" s="14"/>
      <x:c r="N22" s="14"/>
      <x:c r="O22" s="14"/>
      <x:c r="P22" s="16" t="n">
        <x:f>IF(Premissas!$F$47=0,0,D22/Premissas!$F$47*360)</x:f>
        <x:v>0</x:v>
      </x:c>
      <x:c r="Q22" s="19"/>
      <x:c r="R22" s="19" t="n">
        <x:f>D22*Premissas!$C$15</x:f>
        <x:v>0</x:v>
      </x:c>
    </x:row>
    <x:row r="23" ht="23" customHeight="1">
      <x:c r="A23" s="1"/>
      <x:c r="B23" s="1" t="n">
        <x:v>17</x:v>
      </x:c>
      <x:c r="C23" s="1" t="n">
        <x:f>INT((B23-1)/12)+1</x:f>
        <x:v>2</x:v>
      </x:c>
      <x:c r="D23" s="14" t="n">
        <x:f>IF(AND(B23&gt;=Premissas!$C$18,B23&lt;Premissas!$C$18+Premissas!$C$19),Premissas!$F$47/Premissas!$C$19,0)</x:f>
        <x:v>0</x:v>
      </x:c>
      <x:c r="E23" s="14" t="n">
        <x:f>D23*Premissas!$C$20+SUMPRODUCT($D$7:D22,--($B$7:B22&gt;=B23-Premissas!$C$21))*(1-Premissas!$C$20)/Premissas!$C$21</x:f>
        <x:v>0</x:v>
      </x:c>
      <x:c r="F23" s="14"/>
      <x:c r="G23" s="14"/>
      <x:c r="H23" s="14"/>
      <x:c r="I23" s="14"/>
      <x:c r="J23" s="14"/>
      <x:c r="K23" s="14"/>
      <x:c r="L23" s="14"/>
      <x:c r="M23" s="14"/>
      <x:c r="N23" s="14"/>
      <x:c r="O23" s="14"/>
      <x:c r="P23" s="16" t="n">
        <x:f>IF(Premissas!$F$47=0,0,D23/Premissas!$F$47*360)</x:f>
        <x:v>0</x:v>
      </x:c>
      <x:c r="Q23" s="19"/>
      <x:c r="R23" s="19" t="n">
        <x:f>D23*Premissas!$C$15</x:f>
        <x:v>0</x:v>
      </x:c>
    </x:row>
    <x:row r="24" ht="23" customHeight="1">
      <x:c r="A24" s="1"/>
      <x:c r="B24" s="1" t="n">
        <x:v>18</x:v>
      </x:c>
      <x:c r="C24" s="1" t="n">
        <x:f>INT((B24-1)/12)+1</x:f>
        <x:v>2</x:v>
      </x:c>
      <x:c r="D24" s="14" t="n">
        <x:f>IF(AND(B24&gt;=Premissas!$C$18,B24&lt;Premissas!$C$18+Premissas!$C$19),Premissas!$F$47/Premissas!$C$19,0)</x:f>
        <x:v>0</x:v>
      </x:c>
      <x:c r="E24" s="14" t="n">
        <x:f>D24*Premissas!$C$20+SUMPRODUCT($D$7:D23,--($B$7:B23&gt;=B24-Premissas!$C$21))*(1-Premissas!$C$20)/Premissas!$C$21</x:f>
        <x:v>0</x:v>
      </x:c>
      <x:c r="F24" s="14"/>
      <x:c r="G24" s="14"/>
      <x:c r="H24" s="14"/>
      <x:c r="I24" s="14"/>
      <x:c r="J24" s="14"/>
      <x:c r="K24" s="14"/>
      <x:c r="L24" s="14"/>
      <x:c r="M24" s="14"/>
      <x:c r="N24" s="14"/>
      <x:c r="O24" s="14"/>
      <x:c r="P24" s="16" t="n">
        <x:f>IF(Premissas!$F$47=0,0,D24/Premissas!$F$47*360)</x:f>
        <x:v>0</x:v>
      </x:c>
      <x:c r="Q24" s="19"/>
      <x:c r="R24" s="19" t="n">
        <x:f>D24*Premissas!$C$15</x:f>
        <x:v>0</x:v>
      </x:c>
    </x:row>
    <x:row r="25" ht="23" customHeight="1">
      <x:c r="A25" s="1"/>
      <x:c r="B25" s="1" t="n">
        <x:v>19</x:v>
      </x:c>
      <x:c r="C25" s="1" t="n">
        <x:f>INT((B25-1)/12)+1</x:f>
        <x:v>2</x:v>
      </x:c>
      <x:c r="D25" s="14" t="n">
        <x:f>IF(AND(B25&gt;=Premissas!$C$18,B25&lt;Premissas!$C$18+Premissas!$C$19),Premissas!$F$47/Premissas!$C$19,0)</x:f>
        <x:v>3354285.714285714</x:v>
      </x:c>
      <x:c r="E25" s="14" t="n">
        <x:f>D25*Premissas!$C$20+SUMPRODUCT($D$7:D24,--($B$7:B24&gt;=B25-Premissas!$C$21))*(1-Premissas!$C$20)/Premissas!$C$21</x:f>
        <x:v>1006285.7142857142</x:v>
      </x:c>
      <x:c r="F25" s="14"/>
      <x:c r="G25" s="14"/>
      <x:c r="H25" s="14"/>
      <x:c r="I25" s="14"/>
      <x:c r="J25" s="14"/>
      <x:c r="K25" s="14"/>
      <x:c r="L25" s="14"/>
      <x:c r="M25" s="14"/>
      <x:c r="N25" s="14"/>
      <x:c r="O25" s="14"/>
      <x:c r="P25" s="16" t="n">
        <x:f>IF(Premissas!$F$47=0,0,D25/Premissas!$F$47*360)</x:f>
        <x:v>8.571428571428571</x:v>
      </x:c>
      <x:c r="Q25" s="19"/>
      <x:c r="R25" s="19" t="n">
        <x:f>D25*Premissas!$C$15</x:f>
        <x:v>50314.28571428571</x:v>
      </x:c>
    </x:row>
    <x:row r="26" ht="23" customHeight="1">
      <x:c r="A26" s="1"/>
      <x:c r="B26" s="1" t="n">
        <x:v>20</x:v>
      </x:c>
      <x:c r="C26" s="1" t="n">
        <x:f>INT((B26-1)/12)+1</x:f>
        <x:v>2</x:v>
      </x:c>
      <x:c r="D26" s="14" t="n">
        <x:f>IF(AND(B26&gt;=Premissas!$C$18,B26&lt;Premissas!$C$18+Premissas!$C$19),Premissas!$F$47/Premissas!$C$19,0)</x:f>
        <x:v>3354285.714285714</x:v>
      </x:c>
      <x:c r="E26" s="14" t="n">
        <x:f>D26*Premissas!$C$20+SUMPRODUCT($D$7:D25,--($B$7:B25&gt;=B26-Premissas!$C$21))*(1-Premissas!$C$20)/Premissas!$C$21</x:f>
        <x:v>1071507.9365079363</x:v>
      </x:c>
      <x:c r="F26" s="14"/>
      <x:c r="G26" s="14"/>
      <x:c r="H26" s="14"/>
      <x:c r="I26" s="14"/>
      <x:c r="J26" s="14"/>
      <x:c r="K26" s="14"/>
      <x:c r="L26" s="14"/>
      <x:c r="M26" s="14"/>
      <x:c r="N26" s="14"/>
      <x:c r="O26" s="14"/>
      <x:c r="P26" s="16" t="n">
        <x:f>IF(Premissas!$F$47=0,0,D26/Premissas!$F$47*360)</x:f>
        <x:v>8.571428571428571</x:v>
      </x:c>
      <x:c r="Q26" s="19"/>
      <x:c r="R26" s="19" t="n">
        <x:f>D26*Premissas!$C$15</x:f>
        <x:v>50314.28571428571</x:v>
      </x:c>
    </x:row>
    <x:row r="27" ht="23" customHeight="1">
      <x:c r="A27" s="1"/>
      <x:c r="B27" s="1" t="n">
        <x:v>21</x:v>
      </x:c>
      <x:c r="C27" s="1" t="n">
        <x:f>INT((B27-1)/12)+1</x:f>
        <x:v>2</x:v>
      </x:c>
      <x:c r="D27" s="14" t="n">
        <x:f>IF(AND(B27&gt;=Premissas!$C$18,B27&lt;Premissas!$C$18+Premissas!$C$19),Premissas!$F$47/Premissas!$C$19,0)</x:f>
        <x:v>3354285.714285714</x:v>
      </x:c>
      <x:c r="E27" s="14" t="n">
        <x:f>D27*Premissas!$C$20+SUMPRODUCT($D$7:D26,--($B$7:B26&gt;=B27-Premissas!$C$21))*(1-Premissas!$C$20)/Premissas!$C$21</x:f>
        <x:v>1136730.1587301586</x:v>
      </x:c>
      <x:c r="F27" s="14"/>
      <x:c r="G27" s="14"/>
      <x:c r="H27" s="14"/>
      <x:c r="I27" s="14"/>
      <x:c r="J27" s="14"/>
      <x:c r="K27" s="14"/>
      <x:c r="L27" s="14"/>
      <x:c r="M27" s="14"/>
      <x:c r="N27" s="14"/>
      <x:c r="O27" s="14"/>
      <x:c r="P27" s="16" t="n">
        <x:f>IF(Premissas!$F$47=0,0,D27/Premissas!$F$47*360)</x:f>
        <x:v>8.571428571428571</x:v>
      </x:c>
      <x:c r="Q27" s="19"/>
      <x:c r="R27" s="19" t="n">
        <x:f>D27*Premissas!$C$15</x:f>
        <x:v>50314.28571428571</x:v>
      </x:c>
    </x:row>
    <x:row r="28" ht="23" customHeight="1">
      <x:c r="A28" s="1"/>
      <x:c r="B28" s="1" t="n">
        <x:v>22</x:v>
      </x:c>
      <x:c r="C28" s="1" t="n">
        <x:f>INT((B28-1)/12)+1</x:f>
        <x:v>2</x:v>
      </x:c>
      <x:c r="D28" s="14" t="n">
        <x:f>IF(AND(B28&gt;=Premissas!$C$18,B28&lt;Premissas!$C$18+Premissas!$C$19),Premissas!$F$47/Premissas!$C$19,0)</x:f>
        <x:v>3354285.714285714</x:v>
      </x:c>
      <x:c r="E28" s="14" t="n">
        <x:f>D28*Premissas!$C$20+SUMPRODUCT($D$7:D27,--($B$7:B27&gt;=B28-Premissas!$C$21))*(1-Premissas!$C$20)/Premissas!$C$21</x:f>
        <x:v>1201952.3809523808</x:v>
      </x:c>
      <x:c r="F28" s="14"/>
      <x:c r="G28" s="14"/>
      <x:c r="H28" s="14"/>
      <x:c r="I28" s="14"/>
      <x:c r="J28" s="14"/>
      <x:c r="K28" s="14"/>
      <x:c r="L28" s="14"/>
      <x:c r="M28" s="14"/>
      <x:c r="N28" s="14"/>
      <x:c r="O28" s="14"/>
      <x:c r="P28" s="16" t="n">
        <x:f>IF(Premissas!$F$47=0,0,D28/Premissas!$F$47*360)</x:f>
        <x:v>8.571428571428571</x:v>
      </x:c>
      <x:c r="Q28" s="19"/>
      <x:c r="R28" s="19" t="n">
        <x:f>D28*Premissas!$C$15</x:f>
        <x:v>50314.28571428571</x:v>
      </x:c>
    </x:row>
    <x:row r="29" ht="23" customHeight="1">
      <x:c r="A29" s="1"/>
      <x:c r="B29" s="1" t="n">
        <x:v>23</x:v>
      </x:c>
      <x:c r="C29" s="1" t="n">
        <x:f>INT((B29-1)/12)+1</x:f>
        <x:v>2</x:v>
      </x:c>
      <x:c r="D29" s="14" t="n">
        <x:f>IF(AND(B29&gt;=Premissas!$C$18,B29&lt;Premissas!$C$18+Premissas!$C$19),Premissas!$F$47/Premissas!$C$19,0)</x:f>
        <x:v>3354285.714285714</x:v>
      </x:c>
      <x:c r="E29" s="14" t="n">
        <x:f>D29*Premissas!$C$20+SUMPRODUCT($D$7:D28,--($B$7:B28&gt;=B29-Premissas!$C$21))*(1-Premissas!$C$20)/Premissas!$C$21</x:f>
        <x:v>1267174.603174603</x:v>
      </x:c>
      <x:c r="F29" s="14"/>
      <x:c r="G29" s="14"/>
      <x:c r="H29" s="14"/>
      <x:c r="I29" s="14"/>
      <x:c r="J29" s="14"/>
      <x:c r="K29" s="14"/>
      <x:c r="L29" s="14"/>
      <x:c r="M29" s="14"/>
      <x:c r="N29" s="14"/>
      <x:c r="O29" s="14"/>
      <x:c r="P29" s="16" t="n">
        <x:f>IF(Premissas!$F$47=0,0,D29/Premissas!$F$47*360)</x:f>
        <x:v>8.571428571428571</x:v>
      </x:c>
      <x:c r="Q29" s="19"/>
      <x:c r="R29" s="19" t="n">
        <x:f>D29*Premissas!$C$15</x:f>
        <x:v>50314.28571428571</x:v>
      </x:c>
    </x:row>
    <x:row r="30" ht="23" customHeight="1">
      <x:c r="A30" s="1"/>
      <x:c r="B30" s="1" t="n">
        <x:v>24</x:v>
      </x:c>
      <x:c r="C30" s="1" t="n">
        <x:f>INT((B30-1)/12)+1</x:f>
        <x:v>2</x:v>
      </x:c>
      <x:c r="D30" s="14" t="n">
        <x:f>IF(AND(B30&gt;=Premissas!$C$18,B30&lt;Premissas!$C$18+Premissas!$C$19),Premissas!$F$47/Premissas!$C$19,0)</x:f>
        <x:v>3354285.714285714</x:v>
      </x:c>
      <x:c r="E30" s="14" t="n">
        <x:f>D30*Premissas!$C$20+SUMPRODUCT($D$7:D29,--($B$7:B29&gt;=B30-Premissas!$C$21))*(1-Premissas!$C$20)/Premissas!$C$21</x:f>
        <x:v>1332396.8253968253</x:v>
      </x:c>
      <x:c r="F30" s="14"/>
      <x:c r="G30" s="14"/>
      <x:c r="H30" s="14"/>
      <x:c r="I30" s="14"/>
      <x:c r="J30" s="14"/>
      <x:c r="K30" s="14"/>
      <x:c r="L30" s="14"/>
      <x:c r="M30" s="14"/>
      <x:c r="N30" s="14"/>
      <x:c r="O30" s="14"/>
      <x:c r="P30" s="16" t="n">
        <x:f>IF(Premissas!$F$47=0,0,D30/Premissas!$F$47*360)</x:f>
        <x:v>8.571428571428571</x:v>
      </x:c>
      <x:c r="Q30" s="19"/>
      <x:c r="R30" s="19" t="n">
        <x:f>D30*Premissas!$C$15</x:f>
        <x:v>50314.28571428571</x:v>
      </x:c>
    </x:row>
    <x:row r="31" ht="23" customHeight="1">
      <x:c r="A31" s="1"/>
      <x:c r="B31" s="1" t="n">
        <x:v>25</x:v>
      </x:c>
      <x:c r="C31" s="1" t="n">
        <x:f>INT((B31-1)/12)+1</x:f>
        <x:v>3</x:v>
      </x:c>
      <x:c r="D31" s="14" t="n">
        <x:f>IF(AND(B31&gt;=Premissas!$C$18,B31&lt;Premissas!$C$18+Premissas!$C$19),Premissas!$F$47/Premissas!$C$19,0)</x:f>
        <x:v>3354285.714285714</x:v>
      </x:c>
      <x:c r="E31" s="14" t="n">
        <x:f>D31*Premissas!$C$20+SUMPRODUCT($D$7:D30,--($B$7:B30&gt;=B31-Premissas!$C$21))*(1-Premissas!$C$20)/Premissas!$C$21</x:f>
        <x:v>1397619.0476190476</x:v>
      </x:c>
      <x:c r="F31" s="14"/>
      <x:c r="G31" s="14"/>
      <x:c r="H31" s="14"/>
      <x:c r="I31" s="14"/>
      <x:c r="J31" s="14"/>
      <x:c r="K31" s="14"/>
      <x:c r="L31" s="14"/>
      <x:c r="M31" s="14"/>
      <x:c r="N31" s="14"/>
      <x:c r="O31" s="14"/>
      <x:c r="P31" s="16" t="n">
        <x:f>IF(Premissas!$F$47=0,0,D31/Premissas!$F$47*360)</x:f>
        <x:v>8.571428571428571</x:v>
      </x:c>
      <x:c r="Q31" s="19"/>
      <x:c r="R31" s="19" t="n">
        <x:f>D31*Premissas!$C$15</x:f>
        <x:v>50314.28571428571</x:v>
      </x:c>
    </x:row>
    <x:row r="32" ht="23" customHeight="1">
      <x:c r="A32" s="1"/>
      <x:c r="B32" s="1" t="n">
        <x:v>26</x:v>
      </x:c>
      <x:c r="C32" s="1" t="n">
        <x:f>INT((B32-1)/12)+1</x:f>
        <x:v>3</x:v>
      </x:c>
      <x:c r="D32" s="14" t="n">
        <x:f>IF(AND(B32&gt;=Premissas!$C$18,B32&lt;Premissas!$C$18+Premissas!$C$19),Premissas!$F$47/Premissas!$C$19,0)</x:f>
        <x:v>3354285.714285714</x:v>
      </x:c>
      <x:c r="E32" s="14" t="n">
        <x:f>D32*Premissas!$C$20+SUMPRODUCT($D$7:D31,--($B$7:B31&gt;=B32-Premissas!$C$21))*(1-Premissas!$C$20)/Premissas!$C$21</x:f>
        <x:v>1462841.2698412696</x:v>
      </x:c>
      <x:c r="F32" s="14"/>
      <x:c r="G32" s="14"/>
      <x:c r="H32" s="14"/>
      <x:c r="I32" s="14"/>
      <x:c r="J32" s="14"/>
      <x:c r="K32" s="14"/>
      <x:c r="L32" s="14"/>
      <x:c r="M32" s="14"/>
      <x:c r="N32" s="14"/>
      <x:c r="O32" s="14"/>
      <x:c r="P32" s="16" t="n">
        <x:f>IF(Premissas!$F$47=0,0,D32/Premissas!$F$47*360)</x:f>
        <x:v>8.571428571428571</x:v>
      </x:c>
      <x:c r="Q32" s="19"/>
      <x:c r="R32" s="19" t="n">
        <x:f>D32*Premissas!$C$15</x:f>
        <x:v>50314.28571428571</x:v>
      </x:c>
    </x:row>
    <x:row r="33" ht="23" customHeight="1">
      <x:c r="A33" s="1"/>
      <x:c r="B33" s="1" t="n">
        <x:v>27</x:v>
      </x:c>
      <x:c r="C33" s="1" t="n">
        <x:f>INT((B33-1)/12)+1</x:f>
        <x:v>3</x:v>
      </x:c>
      <x:c r="D33" s="14" t="n">
        <x:f>IF(AND(B33&gt;=Premissas!$C$18,B33&lt;Premissas!$C$18+Premissas!$C$19),Premissas!$F$47/Premissas!$C$19,0)</x:f>
        <x:v>3354285.714285714</x:v>
      </x:c>
      <x:c r="E33" s="14" t="n">
        <x:f>D33*Premissas!$C$20+SUMPRODUCT($D$7:D32,--($B$7:B32&gt;=B33-Premissas!$C$21))*(1-Premissas!$C$20)/Premissas!$C$21</x:f>
        <x:v>1528063.4920634918</x:v>
      </x:c>
      <x:c r="F33" s="14"/>
      <x:c r="G33" s="14"/>
      <x:c r="H33" s="14"/>
      <x:c r="I33" s="14"/>
      <x:c r="J33" s="14"/>
      <x:c r="K33" s="14"/>
      <x:c r="L33" s="14"/>
      <x:c r="M33" s="14"/>
      <x:c r="N33" s="14"/>
      <x:c r="O33" s="14"/>
      <x:c r="P33" s="16" t="n">
        <x:f>IF(Premissas!$F$47=0,0,D33/Premissas!$F$47*360)</x:f>
        <x:v>8.571428571428571</x:v>
      </x:c>
      <x:c r="Q33" s="19"/>
      <x:c r="R33" s="19" t="n">
        <x:f>D33*Premissas!$C$15</x:f>
        <x:v>50314.28571428571</x:v>
      </x:c>
    </x:row>
    <x:row r="34" ht="23" customHeight="1">
      <x:c r="A34" s="1"/>
      <x:c r="B34" s="1" t="n">
        <x:v>28</x:v>
      </x:c>
      <x:c r="C34" s="1" t="n">
        <x:f>INT((B34-1)/12)+1</x:f>
        <x:v>3</x:v>
      </x:c>
      <x:c r="D34" s="14" t="n">
        <x:f>IF(AND(B34&gt;=Premissas!$C$18,B34&lt;Premissas!$C$18+Premissas!$C$19),Premissas!$F$47/Premissas!$C$19,0)</x:f>
        <x:v>3354285.714285714</x:v>
      </x:c>
      <x:c r="E34" s="14" t="n">
        <x:f>D34*Premissas!$C$20+SUMPRODUCT($D$7:D33,--($B$7:B33&gt;=B34-Premissas!$C$21))*(1-Premissas!$C$20)/Premissas!$C$21</x:f>
        <x:v>1593285.714285714</x:v>
      </x:c>
      <x:c r="F34" s="14"/>
      <x:c r="G34" s="14"/>
      <x:c r="H34" s="14"/>
      <x:c r="I34" s="14"/>
      <x:c r="J34" s="14"/>
      <x:c r="K34" s="14"/>
      <x:c r="L34" s="14"/>
      <x:c r="M34" s="14"/>
      <x:c r="N34" s="14"/>
      <x:c r="O34" s="14"/>
      <x:c r="P34" s="16" t="n">
        <x:f>IF(Premissas!$F$47=0,0,D34/Premissas!$F$47*360)</x:f>
        <x:v>8.571428571428571</x:v>
      </x:c>
      <x:c r="Q34" s="19"/>
      <x:c r="R34" s="19" t="n">
        <x:f>D34*Premissas!$C$15</x:f>
        <x:v>50314.28571428571</x:v>
      </x:c>
    </x:row>
    <x:row r="35" ht="23" customHeight="1">
      <x:c r="A35" s="1"/>
      <x:c r="B35" s="1" t="n">
        <x:v>29</x:v>
      </x:c>
      <x:c r="C35" s="1" t="n">
        <x:f>INT((B35-1)/12)+1</x:f>
        <x:v>3</x:v>
      </x:c>
      <x:c r="D35" s="14" t="n">
        <x:f>IF(AND(B35&gt;=Premissas!$C$18,B35&lt;Premissas!$C$18+Premissas!$C$19),Premissas!$F$47/Premissas!$C$19,0)</x:f>
        <x:v>3354285.714285714</x:v>
      </x:c>
      <x:c r="E35" s="14" t="n">
        <x:f>D35*Premissas!$C$20+SUMPRODUCT($D$7:D34,--($B$7:B34&gt;=B35-Premissas!$C$21))*(1-Premissas!$C$20)/Premissas!$C$21</x:f>
        <x:v>1658507.936507936</x:v>
      </x:c>
      <x:c r="F35" s="14"/>
      <x:c r="G35" s="14"/>
      <x:c r="H35" s="14"/>
      <x:c r="I35" s="14"/>
      <x:c r="J35" s="14"/>
      <x:c r="K35" s="14"/>
      <x:c r="L35" s="14"/>
      <x:c r="M35" s="14"/>
      <x:c r="N35" s="14"/>
      <x:c r="O35" s="14"/>
      <x:c r="P35" s="16" t="n">
        <x:f>IF(Premissas!$F$47=0,0,D35/Premissas!$F$47*360)</x:f>
        <x:v>8.571428571428571</x:v>
      </x:c>
      <x:c r="Q35" s="19"/>
      <x:c r="R35" s="19" t="n">
        <x:f>D35*Premissas!$C$15</x:f>
        <x:v>50314.28571428571</x:v>
      </x:c>
    </x:row>
    <x:row r="36" ht="23" customHeight="1">
      <x:c r="A36" s="1"/>
      <x:c r="B36" s="1" t="n">
        <x:v>30</x:v>
      </x:c>
      <x:c r="C36" s="1" t="n">
        <x:f>INT((B36-1)/12)+1</x:f>
        <x:v>3</x:v>
      </x:c>
      <x:c r="D36" s="14" t="n">
        <x:f>IF(AND(B36&gt;=Premissas!$C$18,B36&lt;Premissas!$C$18+Premissas!$C$19),Premissas!$F$47/Premissas!$C$19,0)</x:f>
        <x:v>3354285.714285714</x:v>
      </x:c>
      <x:c r="E36" s="14" t="n">
        <x:f>D36*Premissas!$C$20+SUMPRODUCT($D$7:D35,--($B$7:B35&gt;=B36-Premissas!$C$21))*(1-Premissas!$C$20)/Premissas!$C$21</x:f>
        <x:v>1723730.1587301586</x:v>
      </x:c>
      <x:c r="F36" s="14"/>
      <x:c r="G36" s="14"/>
      <x:c r="H36" s="14"/>
      <x:c r="I36" s="14"/>
      <x:c r="J36" s="14"/>
      <x:c r="K36" s="14"/>
      <x:c r="L36" s="14"/>
      <x:c r="M36" s="14"/>
      <x:c r="N36" s="14"/>
      <x:c r="O36" s="14"/>
      <x:c r="P36" s="16" t="n">
        <x:f>IF(Premissas!$F$47=0,0,D36/Premissas!$F$47*360)</x:f>
        <x:v>8.571428571428571</x:v>
      </x:c>
      <x:c r="Q36" s="19"/>
      <x:c r="R36" s="19" t="n">
        <x:f>D36*Premissas!$C$15</x:f>
        <x:v>50314.28571428571</x:v>
      </x:c>
    </x:row>
    <x:row r="37" ht="23" customHeight="1">
      <x:c r="A37" s="1"/>
      <x:c r="B37" s="1" t="n">
        <x:v>31</x:v>
      </x:c>
      <x:c r="C37" s="1" t="n">
        <x:f>INT((B37-1)/12)+1</x:f>
        <x:v>3</x:v>
      </x:c>
      <x:c r="D37" s="14" t="n">
        <x:f>IF(AND(B37&gt;=Premissas!$C$18,B37&lt;Premissas!$C$18+Premissas!$C$19),Premissas!$F$47/Premissas!$C$19,0)</x:f>
        <x:v>3354285.714285714</x:v>
      </x:c>
      <x:c r="E37" s="14" t="n">
        <x:f>D37*Premissas!$C$20+SUMPRODUCT($D$7:D36,--($B$7:B36&gt;=B37-Premissas!$C$21))*(1-Premissas!$C$20)/Premissas!$C$21</x:f>
        <x:v>1788952.3809523806</x:v>
      </x:c>
      <x:c r="F37" s="14"/>
      <x:c r="G37" s="14"/>
      <x:c r="H37" s="14"/>
      <x:c r="I37" s="14"/>
      <x:c r="J37" s="14"/>
      <x:c r="K37" s="14"/>
      <x:c r="L37" s="14"/>
      <x:c r="M37" s="14"/>
      <x:c r="N37" s="14"/>
      <x:c r="O37" s="14"/>
      <x:c r="P37" s="16" t="n">
        <x:f>IF(Premissas!$F$47=0,0,D37/Premissas!$F$47*360)</x:f>
        <x:v>8.571428571428571</x:v>
      </x:c>
      <x:c r="Q37" s="19"/>
      <x:c r="R37" s="19" t="n">
        <x:f>D37*Premissas!$C$15</x:f>
        <x:v>50314.28571428571</x:v>
      </x:c>
    </x:row>
    <x:row r="38" ht="23" customHeight="1">
      <x:c r="A38" s="1"/>
      <x:c r="B38" s="1" t="n">
        <x:v>32</x:v>
      </x:c>
      <x:c r="C38" s="1" t="n">
        <x:f>INT((B38-1)/12)+1</x:f>
        <x:v>3</x:v>
      </x:c>
      <x:c r="D38" s="14" t="n">
        <x:f>IF(AND(B38&gt;=Premissas!$C$18,B38&lt;Premissas!$C$18+Premissas!$C$19),Premissas!$F$47/Premissas!$C$19,0)</x:f>
        <x:v>3354285.714285714</x:v>
      </x:c>
      <x:c r="E38" s="14" t="n">
        <x:f>D38*Premissas!$C$20+SUMPRODUCT($D$7:D37,--($B$7:B37&gt;=B38-Premissas!$C$21))*(1-Premissas!$C$20)/Premissas!$C$21</x:f>
        <x:v>1854174.603174603</x:v>
      </x:c>
      <x:c r="F38" s="14"/>
      <x:c r="G38" s="14"/>
      <x:c r="H38" s="14"/>
      <x:c r="I38" s="14"/>
      <x:c r="J38" s="14"/>
      <x:c r="K38" s="14"/>
      <x:c r="L38" s="14"/>
      <x:c r="M38" s="14"/>
      <x:c r="N38" s="14"/>
      <x:c r="O38" s="14"/>
      <x:c r="P38" s="16" t="n">
        <x:f>IF(Premissas!$F$47=0,0,D38/Premissas!$F$47*360)</x:f>
        <x:v>8.571428571428571</x:v>
      </x:c>
      <x:c r="Q38" s="19"/>
      <x:c r="R38" s="19" t="n">
        <x:f>D38*Premissas!$C$15</x:f>
        <x:v>50314.28571428571</x:v>
      </x:c>
    </x:row>
    <x:row r="39" ht="23" customHeight="1">
      <x:c r="A39" s="1"/>
      <x:c r="B39" s="1" t="n">
        <x:v>33</x:v>
      </x:c>
      <x:c r="C39" s="1" t="n">
        <x:f>INT((B39-1)/12)+1</x:f>
        <x:v>3</x:v>
      </x:c>
      <x:c r="D39" s="14" t="n">
        <x:f>IF(AND(B39&gt;=Premissas!$C$18,B39&lt;Premissas!$C$18+Premissas!$C$19),Premissas!$F$47/Premissas!$C$19,0)</x:f>
        <x:v>3354285.714285714</x:v>
      </x:c>
      <x:c r="E39" s="14" t="n">
        <x:f>D39*Premissas!$C$20+SUMPRODUCT($D$7:D38,--($B$7:B38&gt;=B39-Premissas!$C$21))*(1-Premissas!$C$20)/Premissas!$C$21</x:f>
        <x:v>1919396.825396825</x:v>
      </x:c>
      <x:c r="F39" s="14"/>
      <x:c r="G39" s="14"/>
      <x:c r="H39" s="14"/>
      <x:c r="I39" s="14"/>
      <x:c r="J39" s="14"/>
      <x:c r="K39" s="14"/>
      <x:c r="L39" s="14"/>
      <x:c r="M39" s="14"/>
      <x:c r="N39" s="14"/>
      <x:c r="O39" s="14"/>
      <x:c r="P39" s="16" t="n">
        <x:f>IF(Premissas!$F$47=0,0,D39/Premissas!$F$47*360)</x:f>
        <x:v>8.571428571428571</x:v>
      </x:c>
      <x:c r="Q39" s="19"/>
      <x:c r="R39" s="19" t="n">
        <x:f>D39*Premissas!$C$15</x:f>
        <x:v>50314.28571428571</x:v>
      </x:c>
    </x:row>
    <x:row r="40" ht="23" customHeight="1">
      <x:c r="A40" s="1"/>
      <x:c r="B40" s="1" t="n">
        <x:v>34</x:v>
      </x:c>
      <x:c r="C40" s="1" t="n">
        <x:f>INT((B40-1)/12)+1</x:f>
        <x:v>3</x:v>
      </x:c>
      <x:c r="D40" s="14" t="n">
        <x:f>IF(AND(B40&gt;=Premissas!$C$18,B40&lt;Premissas!$C$18+Premissas!$C$19),Premissas!$F$47/Premissas!$C$19,0)</x:f>
        <x:v>3354285.714285714</x:v>
      </x:c>
      <x:c r="E40" s="14" t="n">
        <x:f>D40*Premissas!$C$20+SUMPRODUCT($D$7:D39,--($B$7:B39&gt;=B40-Premissas!$C$21))*(1-Premissas!$C$20)/Premissas!$C$21</x:f>
        <x:v>1984619.0476190476</x:v>
      </x:c>
      <x:c r="F40" s="14"/>
      <x:c r="G40" s="14"/>
      <x:c r="H40" s="14"/>
      <x:c r="I40" s="14"/>
      <x:c r="J40" s="14"/>
      <x:c r="K40" s="14"/>
      <x:c r="L40" s="14"/>
      <x:c r="M40" s="14"/>
      <x:c r="N40" s="14"/>
      <x:c r="O40" s="14"/>
      <x:c r="P40" s="16" t="n">
        <x:f>IF(Premissas!$F$47=0,0,D40/Premissas!$F$47*360)</x:f>
        <x:v>8.571428571428571</x:v>
      </x:c>
      <x:c r="Q40" s="19"/>
      <x:c r="R40" s="19" t="n">
        <x:f>D40*Premissas!$C$15</x:f>
        <x:v>50314.28571428571</x:v>
      </x:c>
    </x:row>
    <x:row r="41" ht="23" customHeight="1">
      <x:c r="A41" s="1"/>
      <x:c r="B41" s="1" t="n">
        <x:v>35</x:v>
      </x:c>
      <x:c r="C41" s="1" t="n">
        <x:f>INT((B41-1)/12)+1</x:f>
        <x:v>3</x:v>
      </x:c>
      <x:c r="D41" s="14" t="n">
        <x:f>IF(AND(B41&gt;=Premissas!$C$18,B41&lt;Premissas!$C$18+Premissas!$C$19),Premissas!$F$47/Premissas!$C$19,0)</x:f>
        <x:v>3354285.714285714</x:v>
      </x:c>
      <x:c r="E41" s="14" t="n">
        <x:f>D41*Premissas!$C$20+SUMPRODUCT($D$7:D40,--($B$7:B40&gt;=B41-Premissas!$C$21))*(1-Premissas!$C$20)/Premissas!$C$21</x:f>
        <x:v>2049841.2698412696</x:v>
      </x:c>
      <x:c r="F41" s="14"/>
      <x:c r="G41" s="14"/>
      <x:c r="H41" s="14"/>
      <x:c r="I41" s="14"/>
      <x:c r="J41" s="14"/>
      <x:c r="K41" s="14"/>
      <x:c r="L41" s="14"/>
      <x:c r="M41" s="14"/>
      <x:c r="N41" s="14"/>
      <x:c r="O41" s="14"/>
      <x:c r="P41" s="16" t="n">
        <x:f>IF(Premissas!$F$47=0,0,D41/Premissas!$F$47*360)</x:f>
        <x:v>8.571428571428571</x:v>
      </x:c>
      <x:c r="Q41" s="19"/>
      <x:c r="R41" s="19" t="n">
        <x:f>D41*Premissas!$C$15</x:f>
        <x:v>50314.28571428571</x:v>
      </x:c>
    </x:row>
    <x:row r="42" ht="23" customHeight="1">
      <x:c r="A42" s="1"/>
      <x:c r="B42" s="1" t="n">
        <x:v>36</x:v>
      </x:c>
      <x:c r="C42" s="1" t="n">
        <x:f>INT((B42-1)/12)+1</x:f>
        <x:v>3</x:v>
      </x:c>
      <x:c r="D42" s="14" t="n">
        <x:f>IF(AND(B42&gt;=Premissas!$C$18,B42&lt;Premissas!$C$18+Premissas!$C$19),Premissas!$F$47/Premissas!$C$19,0)</x:f>
        <x:v>3354285.714285714</x:v>
      </x:c>
      <x:c r="E42" s="14" t="n">
        <x:f>D42*Premissas!$C$20+SUMPRODUCT($D$7:D41,--($B$7:B41&gt;=B42-Premissas!$C$21))*(1-Premissas!$C$20)/Premissas!$C$21</x:f>
        <x:v>2115063.492063492</x:v>
      </x:c>
      <x:c r="F42" s="14"/>
      <x:c r="G42" s="14"/>
      <x:c r="H42" s="14"/>
      <x:c r="I42" s="14"/>
      <x:c r="J42" s="14"/>
      <x:c r="K42" s="14"/>
      <x:c r="L42" s="14"/>
      <x:c r="M42" s="14"/>
      <x:c r="N42" s="14"/>
      <x:c r="O42" s="14"/>
      <x:c r="P42" s="16" t="n">
        <x:f>IF(Premissas!$F$47=0,0,D42/Premissas!$F$47*360)</x:f>
        <x:v>8.571428571428571</x:v>
      </x:c>
      <x:c r="Q42" s="19"/>
      <x:c r="R42" s="19" t="n">
        <x:f>D42*Premissas!$C$15</x:f>
        <x:v>50314.28571428571</x:v>
      </x:c>
    </x:row>
    <x:row r="43" ht="23" customHeight="1">
      <x:c r="A43" s="1"/>
      <x:c r="B43" s="1" t="n">
        <x:v>37</x:v>
      </x:c>
      <x:c r="C43" s="1" t="n">
        <x:f>INT((B43-1)/12)+1</x:f>
        <x:v>4</x:v>
      </x:c>
      <x:c r="D43" s="14" t="n">
        <x:f>IF(AND(B43&gt;=Premissas!$C$18,B43&lt;Premissas!$C$18+Premissas!$C$19),Premissas!$F$47/Premissas!$C$19,0)</x:f>
        <x:v>3354285.714285714</x:v>
      </x:c>
      <x:c r="E43" s="14" t="n">
        <x:f>D43*Premissas!$C$20+SUMPRODUCT($D$7:D42,--($B$7:B42&gt;=B43-Premissas!$C$21))*(1-Premissas!$C$20)/Premissas!$C$21</x:f>
        <x:v>2180285.714285714</x:v>
      </x:c>
      <x:c r="F43" s="14"/>
      <x:c r="G43" s="14"/>
      <x:c r="H43" s="14"/>
      <x:c r="I43" s="14"/>
      <x:c r="J43" s="14"/>
      <x:c r="K43" s="14"/>
      <x:c r="L43" s="14"/>
      <x:c r="M43" s="14"/>
      <x:c r="N43" s="14"/>
      <x:c r="O43" s="14"/>
      <x:c r="P43" s="16" t="n">
        <x:f>IF(Premissas!$F$47=0,0,D43/Premissas!$F$47*360)</x:f>
        <x:v>8.571428571428571</x:v>
      </x:c>
      <x:c r="Q43" s="19"/>
      <x:c r="R43" s="19" t="n">
        <x:f>D43*Premissas!$C$15</x:f>
        <x:v>50314.28571428571</x:v>
      </x:c>
    </x:row>
    <x:row r="44" ht="23" customHeight="1">
      <x:c r="A44" s="1"/>
      <x:c r="B44" s="1" t="n">
        <x:v>38</x:v>
      </x:c>
      <x:c r="C44" s="1" t="n">
        <x:f>INT((B44-1)/12)+1</x:f>
        <x:v>4</x:v>
      </x:c>
      <x:c r="D44" s="14" t="n">
        <x:f>IF(AND(B44&gt;=Premissas!$C$18,B44&lt;Premissas!$C$18+Premissas!$C$19),Premissas!$F$47/Premissas!$C$19,0)</x:f>
        <x:v>3354285.714285714</x:v>
      </x:c>
      <x:c r="E44" s="14" t="n">
        <x:f>D44*Premissas!$C$20+SUMPRODUCT($D$7:D43,--($B$7:B43&gt;=B44-Premissas!$C$21))*(1-Premissas!$C$20)/Premissas!$C$21</x:f>
        <x:v>2245507.9365079366</x:v>
      </x:c>
      <x:c r="F44" s="14"/>
      <x:c r="G44" s="14"/>
      <x:c r="H44" s="14"/>
      <x:c r="I44" s="14"/>
      <x:c r="J44" s="14"/>
      <x:c r="K44" s="14"/>
      <x:c r="L44" s="14"/>
      <x:c r="M44" s="14"/>
      <x:c r="N44" s="14"/>
      <x:c r="O44" s="14"/>
      <x:c r="P44" s="16" t="n">
        <x:f>IF(Premissas!$F$47=0,0,D44/Premissas!$F$47*360)</x:f>
        <x:v>8.571428571428571</x:v>
      </x:c>
      <x:c r="Q44" s="19"/>
      <x:c r="R44" s="19" t="n">
        <x:f>D44*Premissas!$C$15</x:f>
        <x:v>50314.28571428571</x:v>
      </x:c>
    </x:row>
    <x:row r="45" ht="23" customHeight="1">
      <x:c r="A45" s="1"/>
      <x:c r="B45" s="1" t="n">
        <x:v>39</x:v>
      </x:c>
      <x:c r="C45" s="1" t="n">
        <x:f>INT((B45-1)/12)+1</x:f>
        <x:v>4</x:v>
      </x:c>
      <x:c r="D45" s="14" t="n">
        <x:f>IF(AND(B45&gt;=Premissas!$C$18,B45&lt;Premissas!$C$18+Premissas!$C$19),Premissas!$F$47/Premissas!$C$19,0)</x:f>
        <x:v>3354285.714285714</x:v>
      </x:c>
      <x:c r="E45" s="14" t="n">
        <x:f>D45*Premissas!$C$20+SUMPRODUCT($D$7:D44,--($B$7:B44&gt;=B45-Premissas!$C$21))*(1-Premissas!$C$20)/Premissas!$C$21</x:f>
        <x:v>2310730.158730159</x:v>
      </x:c>
      <x:c r="F45" s="14"/>
      <x:c r="G45" s="14"/>
      <x:c r="H45" s="14"/>
      <x:c r="I45" s="14"/>
      <x:c r="J45" s="14"/>
      <x:c r="K45" s="14"/>
      <x:c r="L45" s="14"/>
      <x:c r="M45" s="14"/>
      <x:c r="N45" s="14"/>
      <x:c r="O45" s="14"/>
      <x:c r="P45" s="16" t="n">
        <x:f>IF(Premissas!$F$47=0,0,D45/Premissas!$F$47*360)</x:f>
        <x:v>8.571428571428571</x:v>
      </x:c>
      <x:c r="Q45" s="19"/>
      <x:c r="R45" s="19" t="n">
        <x:f>D45*Premissas!$C$15</x:f>
        <x:v>50314.28571428571</x:v>
      </x:c>
    </x:row>
    <x:row r="46" ht="23" customHeight="1">
      <x:c r="A46" s="1"/>
      <x:c r="B46" s="1" t="n">
        <x:v>40</x:v>
      </x:c>
      <x:c r="C46" s="1" t="n">
        <x:f>INT((B46-1)/12)+1</x:f>
        <x:v>4</x:v>
      </x:c>
      <x:c r="D46" s="14" t="n">
        <x:f>IF(AND(B46&gt;=Premissas!$C$18,B46&lt;Premissas!$C$18+Premissas!$C$19),Premissas!$F$47/Premissas!$C$19,0)</x:f>
        <x:v>3354285.714285714</x:v>
      </x:c>
      <x:c r="E46" s="14" t="n">
        <x:f>D46*Premissas!$C$20+SUMPRODUCT($D$7:D45,--($B$7:B45&gt;=B46-Premissas!$C$21))*(1-Premissas!$C$20)/Premissas!$C$21</x:f>
        <x:v>2375952.380952381</x:v>
      </x:c>
      <x:c r="F46" s="14"/>
      <x:c r="G46" s="14"/>
      <x:c r="H46" s="14"/>
      <x:c r="I46" s="14"/>
      <x:c r="J46" s="14"/>
      <x:c r="K46" s="14"/>
      <x:c r="L46" s="14"/>
      <x:c r="M46" s="14"/>
      <x:c r="N46" s="14"/>
      <x:c r="O46" s="14"/>
      <x:c r="P46" s="16" t="n">
        <x:f>IF(Premissas!$F$47=0,0,D46/Premissas!$F$47*360)</x:f>
        <x:v>8.571428571428571</x:v>
      </x:c>
      <x:c r="Q46" s="19"/>
      <x:c r="R46" s="19" t="n">
        <x:f>D46*Premissas!$C$15</x:f>
        <x:v>50314.28571428571</x:v>
      </x:c>
    </x:row>
    <x:row r="47" ht="23" customHeight="1">
      <x:c r="A47" s="1"/>
      <x:c r="B47" s="1" t="n">
        <x:v>41</x:v>
      </x:c>
      <x:c r="C47" s="1" t="n">
        <x:f>INT((B47-1)/12)+1</x:f>
        <x:v>4</x:v>
      </x:c>
      <x:c r="D47" s="14" t="n">
        <x:f>IF(AND(B47&gt;=Premissas!$C$18,B47&lt;Premissas!$C$18+Premissas!$C$19),Premissas!$F$47/Premissas!$C$19,0)</x:f>
        <x:v>3354285.714285714</x:v>
      </x:c>
      <x:c r="E47" s="14" t="n">
        <x:f>D47*Premissas!$C$20+SUMPRODUCT($D$7:D46,--($B$7:B46&gt;=B47-Premissas!$C$21))*(1-Premissas!$C$20)/Premissas!$C$21</x:f>
        <x:v>2441174.603174603</x:v>
      </x:c>
      <x:c r="F47" s="14"/>
      <x:c r="G47" s="14"/>
      <x:c r="H47" s="14"/>
      <x:c r="I47" s="14"/>
      <x:c r="J47" s="14"/>
      <x:c r="K47" s="14"/>
      <x:c r="L47" s="14"/>
      <x:c r="M47" s="14"/>
      <x:c r="N47" s="14"/>
      <x:c r="O47" s="14"/>
      <x:c r="P47" s="16" t="n">
        <x:f>IF(Premissas!$F$47=0,0,D47/Premissas!$F$47*360)</x:f>
        <x:v>8.571428571428571</x:v>
      </x:c>
      <x:c r="Q47" s="19"/>
      <x:c r="R47" s="19" t="n">
        <x:f>D47*Premissas!$C$15</x:f>
        <x:v>50314.28571428571</x:v>
      </x:c>
    </x:row>
    <x:row r="48" ht="23" customHeight="1">
      <x:c r="A48" s="1"/>
      <x:c r="B48" s="1" t="n">
        <x:v>42</x:v>
      </x:c>
      <x:c r="C48" s="1" t="n">
        <x:f>INT((B48-1)/12)+1</x:f>
        <x:v>4</x:v>
      </x:c>
      <x:c r="D48" s="14" t="n">
        <x:f>IF(AND(B48&gt;=Premissas!$C$18,B48&lt;Premissas!$C$18+Premissas!$C$19),Premissas!$F$47/Premissas!$C$19,0)</x:f>
        <x:v>3354285.714285714</x:v>
      </x:c>
      <x:c r="E48" s="14" t="n">
        <x:f>D48*Premissas!$C$20+SUMPRODUCT($D$7:D47,--($B$7:B47&gt;=B48-Premissas!$C$21))*(1-Premissas!$C$20)/Premissas!$C$21</x:f>
        <x:v>2506396.8253968256</x:v>
      </x:c>
      <x:c r="F48" s="14"/>
      <x:c r="G48" s="14"/>
      <x:c r="H48" s="14"/>
      <x:c r="I48" s="14"/>
      <x:c r="J48" s="14"/>
      <x:c r="K48" s="14"/>
      <x:c r="L48" s="14"/>
      <x:c r="M48" s="14"/>
      <x:c r="N48" s="14"/>
      <x:c r="O48" s="14"/>
      <x:c r="P48" s="16" t="n">
        <x:f>IF(Premissas!$F$47=0,0,D48/Premissas!$F$47*360)</x:f>
        <x:v>8.571428571428571</x:v>
      </x:c>
      <x:c r="Q48" s="19"/>
      <x:c r="R48" s="19" t="n">
        <x:f>D48*Premissas!$C$15</x:f>
        <x:v>50314.28571428571</x:v>
      </x:c>
    </x:row>
    <x:row r="49" ht="23" customHeight="1">
      <x:c r="A49" s="1"/>
      <x:c r="B49" s="1" t="n">
        <x:v>43</x:v>
      </x:c>
      <x:c r="C49" s="1" t="n">
        <x:f>INT((B49-1)/12)+1</x:f>
        <x:v>4</x:v>
      </x:c>
      <x:c r="D49" s="14" t="n">
        <x:f>IF(AND(B49&gt;=Premissas!$C$18,B49&lt;Premissas!$C$18+Premissas!$C$19),Premissas!$F$47/Premissas!$C$19,0)</x:f>
        <x:v>3354285.714285714</x:v>
      </x:c>
      <x:c r="E49" s="14" t="n">
        <x:f>D49*Premissas!$C$20+SUMPRODUCT($D$7:D48,--($B$7:B48&gt;=B49-Premissas!$C$21))*(1-Premissas!$C$20)/Premissas!$C$21</x:f>
        <x:v>2571619.047619048</x:v>
      </x:c>
      <x:c r="F49" s="14"/>
      <x:c r="G49" s="14"/>
      <x:c r="H49" s="14"/>
      <x:c r="I49" s="14"/>
      <x:c r="J49" s="14"/>
      <x:c r="K49" s="14"/>
      <x:c r="L49" s="14"/>
      <x:c r="M49" s="14"/>
      <x:c r="N49" s="14"/>
      <x:c r="O49" s="14"/>
      <x:c r="P49" s="16" t="n">
        <x:f>IF(Premissas!$F$47=0,0,D49/Premissas!$F$47*360)</x:f>
        <x:v>8.571428571428571</x:v>
      </x:c>
      <x:c r="Q49" s="19"/>
      <x:c r="R49" s="19" t="n">
        <x:f>D49*Premissas!$C$15</x:f>
        <x:v>50314.28571428571</x:v>
      </x:c>
    </x:row>
    <x:row r="50" ht="23" customHeight="1">
      <x:c r="A50" s="1"/>
      <x:c r="B50" s="1" t="n">
        <x:v>44</x:v>
      </x:c>
      <x:c r="C50" s="1" t="n">
        <x:f>INT((B50-1)/12)+1</x:f>
        <x:v>4</x:v>
      </x:c>
      <x:c r="D50" s="14" t="n">
        <x:f>IF(AND(B50&gt;=Premissas!$C$18,B50&lt;Premissas!$C$18+Premissas!$C$19),Premissas!$F$47/Premissas!$C$19,0)</x:f>
        <x:v>3354285.714285714</x:v>
      </x:c>
      <x:c r="E50" s="14" t="n">
        <x:f>D50*Premissas!$C$20+SUMPRODUCT($D$7:D49,--($B$7:B49&gt;=B50-Premissas!$C$21))*(1-Premissas!$C$20)/Premissas!$C$21</x:f>
        <x:v>2636841.26984127</x:v>
      </x:c>
      <x:c r="F50" s="14"/>
      <x:c r="G50" s="14"/>
      <x:c r="H50" s="14"/>
      <x:c r="I50" s="14"/>
      <x:c r="J50" s="14"/>
      <x:c r="K50" s="14"/>
      <x:c r="L50" s="14"/>
      <x:c r="M50" s="14"/>
      <x:c r="N50" s="14"/>
      <x:c r="O50" s="14"/>
      <x:c r="P50" s="16" t="n">
        <x:f>IF(Premissas!$F$47=0,0,D50/Premissas!$F$47*360)</x:f>
        <x:v>8.571428571428571</x:v>
      </x:c>
      <x:c r="Q50" s="19"/>
      <x:c r="R50" s="19" t="n">
        <x:f>D50*Premissas!$C$15</x:f>
        <x:v>50314.28571428571</x:v>
      </x:c>
    </x:row>
    <x:row r="51" ht="23" customHeight="1">
      <x:c r="A51" s="1"/>
      <x:c r="B51" s="1" t="n">
        <x:v>45</x:v>
      </x:c>
      <x:c r="C51" s="1" t="n">
        <x:f>INT((B51-1)/12)+1</x:f>
        <x:v>4</x:v>
      </x:c>
      <x:c r="D51" s="14" t="n">
        <x:f>IF(AND(B51&gt;=Premissas!$C$18,B51&lt;Premissas!$C$18+Premissas!$C$19),Premissas!$F$47/Premissas!$C$19,0)</x:f>
        <x:v>3354285.714285714</x:v>
      </x:c>
      <x:c r="E51" s="14" t="n">
        <x:f>D51*Premissas!$C$20+SUMPRODUCT($D$7:D50,--($B$7:B50&gt;=B51-Premissas!$C$21))*(1-Premissas!$C$20)/Premissas!$C$21</x:f>
        <x:v>2702063.4920634925</x:v>
      </x:c>
      <x:c r="F51" s="14"/>
      <x:c r="G51" s="14"/>
      <x:c r="H51" s="14"/>
      <x:c r="I51" s="14"/>
      <x:c r="J51" s="14"/>
      <x:c r="K51" s="14"/>
      <x:c r="L51" s="14"/>
      <x:c r="M51" s="14"/>
      <x:c r="N51" s="14"/>
      <x:c r="O51" s="14"/>
      <x:c r="P51" s="16" t="n">
        <x:f>IF(Premissas!$F$47=0,0,D51/Premissas!$F$47*360)</x:f>
        <x:v>8.571428571428571</x:v>
      </x:c>
      <x:c r="Q51" s="19"/>
      <x:c r="R51" s="19" t="n">
        <x:f>D51*Premissas!$C$15</x:f>
        <x:v>50314.28571428571</x:v>
      </x:c>
    </x:row>
    <x:row r="52" ht="23" customHeight="1">
      <x:c r="A52" s="1"/>
      <x:c r="B52" s="1" t="n">
        <x:v>46</x:v>
      </x:c>
      <x:c r="C52" s="1" t="n">
        <x:f>INT((B52-1)/12)+1</x:f>
        <x:v>4</x:v>
      </x:c>
      <x:c r="D52" s="14" t="n">
        <x:f>IF(AND(B52&gt;=Premissas!$C$18,B52&lt;Premissas!$C$18+Premissas!$C$19),Premissas!$F$47/Premissas!$C$19,0)</x:f>
        <x:v>3354285.714285714</x:v>
      </x:c>
      <x:c r="E52" s="14" t="n">
        <x:f>D52*Premissas!$C$20+SUMPRODUCT($D$7:D51,--($B$7:B51&gt;=B52-Premissas!$C$21))*(1-Premissas!$C$20)/Premissas!$C$21</x:f>
        <x:v>2767285.7142857146</x:v>
      </x:c>
      <x:c r="F52" s="14"/>
      <x:c r="G52" s="14"/>
      <x:c r="H52" s="14"/>
      <x:c r="I52" s="14"/>
      <x:c r="J52" s="14"/>
      <x:c r="K52" s="14"/>
      <x:c r="L52" s="14"/>
      <x:c r="M52" s="14"/>
      <x:c r="N52" s="14"/>
      <x:c r="O52" s="14"/>
      <x:c r="P52" s="16" t="n">
        <x:f>IF(Premissas!$F$47=0,0,D52/Premissas!$F$47*360)</x:f>
        <x:v>8.571428571428571</x:v>
      </x:c>
      <x:c r="Q52" s="19"/>
      <x:c r="R52" s="19" t="n">
        <x:f>D52*Premissas!$C$15</x:f>
        <x:v>50314.28571428571</x:v>
      </x:c>
    </x:row>
    <x:row r="53" ht="23" customHeight="1">
      <x:c r="A53" s="1"/>
      <x:c r="B53" s="1" t="n">
        <x:v>47</x:v>
      </x:c>
      <x:c r="C53" s="1" t="n">
        <x:f>INT((B53-1)/12)+1</x:f>
        <x:v>4</x:v>
      </x:c>
      <x:c r="D53" s="14" t="n">
        <x:f>IF(AND(B53&gt;=Premissas!$C$18,B53&lt;Premissas!$C$18+Premissas!$C$19),Premissas!$F$47/Premissas!$C$19,0)</x:f>
        <x:v>3354285.714285714</x:v>
      </x:c>
      <x:c r="E53" s="14" t="n">
        <x:f>D53*Premissas!$C$20+SUMPRODUCT($D$7:D52,--($B$7:B52&gt;=B53-Premissas!$C$21))*(1-Premissas!$C$20)/Premissas!$C$21</x:f>
        <x:v>2832507.936507937</x:v>
      </x:c>
      <x:c r="F53" s="14"/>
      <x:c r="G53" s="14"/>
      <x:c r="H53" s="14"/>
      <x:c r="I53" s="14"/>
      <x:c r="J53" s="14"/>
      <x:c r="K53" s="14"/>
      <x:c r="L53" s="14"/>
      <x:c r="M53" s="14"/>
      <x:c r="N53" s="14"/>
      <x:c r="O53" s="14"/>
      <x:c r="P53" s="16" t="n">
        <x:f>IF(Premissas!$F$47=0,0,D53/Premissas!$F$47*360)</x:f>
        <x:v>8.571428571428571</x:v>
      </x:c>
      <x:c r="Q53" s="19"/>
      <x:c r="R53" s="19" t="n">
        <x:f>D53*Premissas!$C$15</x:f>
        <x:v>50314.28571428571</x:v>
      </x:c>
    </x:row>
    <x:row r="54" ht="23" customHeight="1">
      <x:c r="A54" s="1"/>
      <x:c r="B54" s="1" t="n">
        <x:v>48</x:v>
      </x:c>
      <x:c r="C54" s="1" t="n">
        <x:f>INT((B54-1)/12)+1</x:f>
        <x:v>4</x:v>
      </x:c>
      <x:c r="D54" s="14" t="n">
        <x:f>IF(AND(B54&gt;=Premissas!$C$18,B54&lt;Premissas!$C$18+Premissas!$C$19),Premissas!$F$47/Premissas!$C$19,0)</x:f>
        <x:v>3354285.714285714</x:v>
      </x:c>
      <x:c r="E54" s="14" t="n">
        <x:f>D54*Premissas!$C$20+SUMPRODUCT($D$7:D53,--($B$7:B53&gt;=B54-Premissas!$C$21))*(1-Premissas!$C$20)/Premissas!$C$21</x:f>
        <x:v>2897730.158730159</x:v>
      </x:c>
      <x:c r="F54" s="14"/>
      <x:c r="G54" s="14"/>
      <x:c r="H54" s="14"/>
      <x:c r="I54" s="14"/>
      <x:c r="J54" s="14"/>
      <x:c r="K54" s="14"/>
      <x:c r="L54" s="14"/>
      <x:c r="M54" s="14"/>
      <x:c r="N54" s="14"/>
      <x:c r="O54" s="14"/>
      <x:c r="P54" s="16" t="n">
        <x:f>IF(Premissas!$F$47=0,0,D54/Premissas!$F$47*360)</x:f>
        <x:v>8.571428571428571</x:v>
      </x:c>
      <x:c r="Q54" s="19"/>
      <x:c r="R54" s="19" t="n">
        <x:f>D54*Premissas!$C$15</x:f>
        <x:v>50314.28571428571</x:v>
      </x:c>
    </x:row>
    <x:row r="55" ht="23" customHeight="1">
      <x:c r="A55" s="1"/>
      <x:c r="B55" s="1" t="n">
        <x:v>49</x:v>
      </x:c>
      <x:c r="C55" s="1" t="n">
        <x:f>INT((B55-1)/12)+1</x:f>
        <x:v>5</x:v>
      </x:c>
      <x:c r="D55" s="14" t="n">
        <x:f>IF(AND(B55&gt;=Premissas!$C$18,B55&lt;Premissas!$C$18+Premissas!$C$19),Premissas!$F$47/Premissas!$C$19,0)</x:f>
        <x:v>3354285.714285714</x:v>
      </x:c>
      <x:c r="E55" s="14" t="n">
        <x:f>D55*Premissas!$C$20+SUMPRODUCT($D$7:D54,--($B$7:B54&gt;=B55-Premissas!$C$21))*(1-Premissas!$C$20)/Premissas!$C$21</x:f>
        <x:v>2962952.380952381</x:v>
      </x:c>
      <x:c r="F55" s="14"/>
      <x:c r="G55" s="14"/>
      <x:c r="H55" s="14"/>
      <x:c r="I55" s="14"/>
      <x:c r="J55" s="14"/>
      <x:c r="K55" s="14"/>
      <x:c r="L55" s="14"/>
      <x:c r="M55" s="14"/>
      <x:c r="N55" s="14"/>
      <x:c r="O55" s="14"/>
      <x:c r="P55" s="16" t="n">
        <x:f>IF(Premissas!$F$47=0,0,D55/Premissas!$F$47*360)</x:f>
        <x:v>8.571428571428571</x:v>
      </x:c>
      <x:c r="Q55" s="19"/>
      <x:c r="R55" s="19" t="n">
        <x:f>D55*Premissas!$C$15</x:f>
        <x:v>50314.28571428571</x:v>
      </x:c>
    </x:row>
    <x:row r="56" ht="23" customHeight="1">
      <x:c r="A56" s="1"/>
      <x:c r="B56" s="1" t="n">
        <x:v>50</x:v>
      </x:c>
      <x:c r="C56" s="1" t="n">
        <x:f>INT((B56-1)/12)+1</x:f>
        <x:v>5</x:v>
      </x:c>
      <x:c r="D56" s="14" t="n">
        <x:f>IF(AND(B56&gt;=Premissas!$C$18,B56&lt;Premissas!$C$18+Premissas!$C$19),Premissas!$F$47/Premissas!$C$19,0)</x:f>
        <x:v>3354285.714285714</x:v>
      </x:c>
      <x:c r="E56" s="14" t="n">
        <x:f>D56*Premissas!$C$20+SUMPRODUCT($D$7:D55,--($B$7:B55&gt;=B56-Premissas!$C$21))*(1-Premissas!$C$20)/Premissas!$C$21</x:f>
        <x:v>3028174.6031746035</x:v>
      </x:c>
      <x:c r="F56" s="14"/>
      <x:c r="G56" s="14"/>
      <x:c r="H56" s="14"/>
      <x:c r="I56" s="14"/>
      <x:c r="J56" s="14"/>
      <x:c r="K56" s="14"/>
      <x:c r="L56" s="14"/>
      <x:c r="M56" s="14"/>
      <x:c r="N56" s="14"/>
      <x:c r="O56" s="14"/>
      <x:c r="P56" s="16" t="n">
        <x:f>IF(Premissas!$F$47=0,0,D56/Premissas!$F$47*360)</x:f>
        <x:v>8.571428571428571</x:v>
      </x:c>
      <x:c r="Q56" s="19"/>
      <x:c r="R56" s="19" t="n">
        <x:f>D56*Premissas!$C$15</x:f>
        <x:v>50314.28571428571</x:v>
      </x:c>
    </x:row>
    <x:row r="57" ht="23" customHeight="1">
      <x:c r="A57" s="1"/>
      <x:c r="B57" s="1" t="n">
        <x:v>51</x:v>
      </x:c>
      <x:c r="C57" s="1" t="n">
        <x:f>INT((B57-1)/12)+1</x:f>
        <x:v>5</x:v>
      </x:c>
      <x:c r="D57" s="14" t="n">
        <x:f>IF(AND(B57&gt;=Premissas!$C$18,B57&lt;Premissas!$C$18+Premissas!$C$19),Premissas!$F$47/Premissas!$C$19,0)</x:f>
        <x:v>3354285.714285714</x:v>
      </x:c>
      <x:c r="E57" s="14" t="n">
        <x:f>D57*Premissas!$C$20+SUMPRODUCT($D$7:D56,--($B$7:B56&gt;=B57-Premissas!$C$21))*(1-Premissas!$C$20)/Premissas!$C$21</x:f>
        <x:v>3093396.8253968256</x:v>
      </x:c>
      <x:c r="F57" s="14"/>
      <x:c r="G57" s="14"/>
      <x:c r="H57" s="14"/>
      <x:c r="I57" s="14"/>
      <x:c r="J57" s="14"/>
      <x:c r="K57" s="14"/>
      <x:c r="L57" s="14"/>
      <x:c r="M57" s="14"/>
      <x:c r="N57" s="14"/>
      <x:c r="O57" s="14"/>
      <x:c r="P57" s="16" t="n">
        <x:f>IF(Premissas!$F$47=0,0,D57/Premissas!$F$47*360)</x:f>
        <x:v>8.571428571428571</x:v>
      </x:c>
      <x:c r="Q57" s="19"/>
      <x:c r="R57" s="19" t="n">
        <x:f>D57*Premissas!$C$15</x:f>
        <x:v>50314.28571428571</x:v>
      </x:c>
    </x:row>
    <x:row r="58" ht="23" customHeight="1">
      <x:c r="A58" s="1"/>
      <x:c r="B58" s="1" t="n">
        <x:v>52</x:v>
      </x:c>
      <x:c r="C58" s="1" t="n">
        <x:f>INT((B58-1)/12)+1</x:f>
        <x:v>5</x:v>
      </x:c>
      <x:c r="D58" s="14" t="n">
        <x:f>IF(AND(B58&gt;=Premissas!$C$18,B58&lt;Premissas!$C$18+Premissas!$C$19),Premissas!$F$47/Premissas!$C$19,0)</x:f>
        <x:v>3354285.714285714</x:v>
      </x:c>
      <x:c r="E58" s="14" t="n">
        <x:f>D58*Premissas!$C$20+SUMPRODUCT($D$7:D57,--($B$7:B57&gt;=B58-Premissas!$C$21))*(1-Premissas!$C$20)/Premissas!$C$21</x:f>
        <x:v>3158619.047619048</x:v>
      </x:c>
      <x:c r="F58" s="14"/>
      <x:c r="G58" s="14"/>
      <x:c r="H58" s="14"/>
      <x:c r="I58" s="14"/>
      <x:c r="J58" s="14"/>
      <x:c r="K58" s="14"/>
      <x:c r="L58" s="14"/>
      <x:c r="M58" s="14"/>
      <x:c r="N58" s="14"/>
      <x:c r="O58" s="14"/>
      <x:c r="P58" s="16" t="n">
        <x:f>IF(Premissas!$F$47=0,0,D58/Premissas!$F$47*360)</x:f>
        <x:v>8.571428571428571</x:v>
      </x:c>
      <x:c r="Q58" s="19"/>
      <x:c r="R58" s="19" t="n">
        <x:f>D58*Premissas!$C$15</x:f>
        <x:v>50314.28571428571</x:v>
      </x:c>
    </x:row>
    <x:row r="59" ht="23" customHeight="1">
      <x:c r="A59" s="1"/>
      <x:c r="B59" s="1" t="n">
        <x:v>53</x:v>
      </x:c>
      <x:c r="C59" s="1" t="n">
        <x:f>INT((B59-1)/12)+1</x:f>
        <x:v>5</x:v>
      </x:c>
      <x:c r="D59" s="14" t="n">
        <x:f>IF(AND(B59&gt;=Premissas!$C$18,B59&lt;Premissas!$C$18+Premissas!$C$19),Premissas!$F$47/Premissas!$C$19,0)</x:f>
        <x:v>3354285.714285714</x:v>
      </x:c>
      <x:c r="E59" s="14" t="n">
        <x:f>D59*Premissas!$C$20+SUMPRODUCT($D$7:D58,--($B$7:B58&gt;=B59-Premissas!$C$21))*(1-Premissas!$C$20)/Premissas!$C$21</x:f>
        <x:v>3223841.2698412705</x:v>
      </x:c>
      <x:c r="F59" s="14"/>
      <x:c r="G59" s="14"/>
      <x:c r="H59" s="14"/>
      <x:c r="I59" s="14"/>
      <x:c r="J59" s="14"/>
      <x:c r="K59" s="14"/>
      <x:c r="L59" s="14"/>
      <x:c r="M59" s="14"/>
      <x:c r="N59" s="14"/>
      <x:c r="O59" s="14"/>
      <x:c r="P59" s="16" t="n">
        <x:f>IF(Premissas!$F$47=0,0,D59/Premissas!$F$47*360)</x:f>
        <x:v>8.571428571428571</x:v>
      </x:c>
      <x:c r="Q59" s="19"/>
      <x:c r="R59" s="19" t="n">
        <x:f>D59*Premissas!$C$15</x:f>
        <x:v>50314.28571428571</x:v>
      </x:c>
    </x:row>
    <x:row r="60" ht="23" customHeight="1">
      <x:c r="A60" s="1"/>
      <x:c r="B60" s="1" t="n">
        <x:v>54</x:v>
      </x:c>
      <x:c r="C60" s="1" t="n">
        <x:f>INT((B60-1)/12)+1</x:f>
        <x:v>5</x:v>
      </x:c>
      <x:c r="D60" s="14" t="n">
        <x:f>IF(AND(B60&gt;=Premissas!$C$18,B60&lt;Premissas!$C$18+Premissas!$C$19),Premissas!$F$47/Premissas!$C$19,0)</x:f>
        <x:v>3354285.714285714</x:v>
      </x:c>
      <x:c r="E60" s="14" t="n">
        <x:f>D60*Premissas!$C$20+SUMPRODUCT($D$7:D59,--($B$7:B59&gt;=B60-Premissas!$C$21))*(1-Premissas!$C$20)/Premissas!$C$21</x:f>
        <x:v>3289063.4920634925</x:v>
      </x:c>
      <x:c r="F60" s="14"/>
      <x:c r="G60" s="14"/>
      <x:c r="H60" s="14"/>
      <x:c r="I60" s="14"/>
      <x:c r="J60" s="14"/>
      <x:c r="K60" s="14"/>
      <x:c r="L60" s="14"/>
      <x:c r="M60" s="14"/>
      <x:c r="N60" s="14"/>
      <x:c r="O60" s="14"/>
      <x:c r="P60" s="16" t="n">
        <x:f>IF(Premissas!$F$47=0,0,D60/Premissas!$F$47*360)</x:f>
        <x:v>8.571428571428571</x:v>
      </x:c>
      <x:c r="Q60" s="19"/>
      <x:c r="R60" s="19" t="n">
        <x:f>D60*Premissas!$C$15</x:f>
        <x:v>50314.28571428571</x:v>
      </x:c>
    </x:row>
    <x:row r="61" ht="23" customHeight="1">
      <x:c r="A61" s="1"/>
      <x:c r="B61" s="1" t="n">
        <x:v>55</x:v>
      </x:c>
      <x:c r="C61" s="1" t="n">
        <x:f>INT((B61-1)/12)+1</x:f>
        <x:v>5</x:v>
      </x:c>
      <x:c r="D61" s="14" t="n">
        <x:f>IF(AND(B61&gt;=Premissas!$C$18,B61&lt;Premissas!$C$18+Premissas!$C$19),Premissas!$F$47/Premissas!$C$19,0)</x:f>
        <x:v>3354285.714285714</x:v>
      </x:c>
      <x:c r="E61" s="14" t="n">
        <x:f>D61*Premissas!$C$20+SUMPRODUCT($D$7:D60,--($B$7:B60&gt;=B61-Premissas!$C$21))*(1-Premissas!$C$20)/Premissas!$C$21</x:f>
        <x:v>3354285.714285715</x:v>
      </x:c>
      <x:c r="F61" s="14"/>
      <x:c r="G61" s="14"/>
      <x:c r="H61" s="14"/>
      <x:c r="I61" s="14"/>
      <x:c r="J61" s="14"/>
      <x:c r="K61" s="14"/>
      <x:c r="L61" s="14"/>
      <x:c r="M61" s="14"/>
      <x:c r="N61" s="14"/>
      <x:c r="O61" s="14"/>
      <x:c r="P61" s="16" t="n">
        <x:f>IF(Premissas!$F$47=0,0,D61/Premissas!$F$47*360)</x:f>
        <x:v>8.571428571428571</x:v>
      </x:c>
      <x:c r="Q61" s="19"/>
      <x:c r="R61" s="19" t="n">
        <x:f>D61*Premissas!$C$15</x:f>
        <x:v>50314.28571428571</x:v>
      </x:c>
    </x:row>
    <x:row r="62" ht="23" customHeight="1">
      <x:c r="A62" s="1"/>
      <x:c r="B62" s="1" t="n">
        <x:v>56</x:v>
      </x:c>
      <x:c r="C62" s="1" t="n">
        <x:f>INT((B62-1)/12)+1</x:f>
        <x:v>5</x:v>
      </x:c>
      <x:c r="D62" s="14" t="n">
        <x:f>IF(AND(B62&gt;=Premissas!$C$18,B62&lt;Premissas!$C$18+Premissas!$C$19),Premissas!$F$47/Premissas!$C$19,0)</x:f>
        <x:v>3354285.714285714</x:v>
      </x:c>
      <x:c r="E62" s="14" t="n">
        <x:f>D62*Premissas!$C$20+SUMPRODUCT($D$7:D61,--($B$7:B61&gt;=B62-Premissas!$C$21))*(1-Premissas!$C$20)/Premissas!$C$21</x:f>
        <x:v>3354285.714285715</x:v>
      </x:c>
      <x:c r="F62" s="14"/>
      <x:c r="G62" s="14"/>
      <x:c r="H62" s="14"/>
      <x:c r="I62" s="14"/>
      <x:c r="J62" s="14"/>
      <x:c r="K62" s="14"/>
      <x:c r="L62" s="14"/>
      <x:c r="M62" s="14"/>
      <x:c r="N62" s="14"/>
      <x:c r="O62" s="14"/>
      <x:c r="P62" s="16" t="n">
        <x:f>IF(Premissas!$F$47=0,0,D62/Premissas!$F$47*360)</x:f>
        <x:v>8.571428571428571</x:v>
      </x:c>
      <x:c r="Q62" s="19"/>
      <x:c r="R62" s="19" t="n">
        <x:f>D62*Premissas!$C$15</x:f>
        <x:v>50314.28571428571</x:v>
      </x:c>
    </x:row>
    <x:row r="63" ht="23" customHeight="1">
      <x:c r="A63" s="1"/>
      <x:c r="B63" s="1" t="n">
        <x:v>57</x:v>
      </x:c>
      <x:c r="C63" s="1" t="n">
        <x:f>INT((B63-1)/12)+1</x:f>
        <x:v>5</x:v>
      </x:c>
      <x:c r="D63" s="14" t="n">
        <x:f>IF(AND(B63&gt;=Premissas!$C$18,B63&lt;Premissas!$C$18+Premissas!$C$19),Premissas!$F$47/Premissas!$C$19,0)</x:f>
        <x:v>3354285.714285714</x:v>
      </x:c>
      <x:c r="E63" s="14" t="n">
        <x:f>D63*Premissas!$C$20+SUMPRODUCT($D$7:D62,--($B$7:B62&gt;=B63-Premissas!$C$21))*(1-Premissas!$C$20)/Premissas!$C$21</x:f>
        <x:v>3354285.714285715</x:v>
      </x:c>
      <x:c r="F63" s="14"/>
      <x:c r="G63" s="14"/>
      <x:c r="H63" s="14"/>
      <x:c r="I63" s="14"/>
      <x:c r="J63" s="14"/>
      <x:c r="K63" s="14"/>
      <x:c r="L63" s="14"/>
      <x:c r="M63" s="14"/>
      <x:c r="N63" s="14"/>
      <x:c r="O63" s="14"/>
      <x:c r="P63" s="16" t="n">
        <x:f>IF(Premissas!$F$47=0,0,D63/Premissas!$F$47*360)</x:f>
        <x:v>8.571428571428571</x:v>
      </x:c>
      <x:c r="Q63" s="19"/>
      <x:c r="R63" s="19" t="n">
        <x:f>D63*Premissas!$C$15</x:f>
        <x:v>50314.28571428571</x:v>
      </x:c>
    </x:row>
    <x:row r="64" ht="23" customHeight="1">
      <x:c r="A64" s="1"/>
      <x:c r="B64" s="1" t="n">
        <x:v>58</x:v>
      </x:c>
      <x:c r="C64" s="1" t="n">
        <x:f>INT((B64-1)/12)+1</x:f>
        <x:v>5</x:v>
      </x:c>
      <x:c r="D64" s="14" t="n">
        <x:f>IF(AND(B64&gt;=Premissas!$C$18,B64&lt;Premissas!$C$18+Premissas!$C$19),Premissas!$F$47/Premissas!$C$19,0)</x:f>
        <x:v>3354285.714285714</x:v>
      </x:c>
      <x:c r="E64" s="14" t="n">
        <x:f>D64*Premissas!$C$20+SUMPRODUCT($D$7:D63,--($B$7:B63&gt;=B64-Premissas!$C$21))*(1-Premissas!$C$20)/Premissas!$C$21</x:f>
        <x:v>3354285.714285715</x:v>
      </x:c>
      <x:c r="F64" s="14"/>
      <x:c r="G64" s="14"/>
      <x:c r="H64" s="14"/>
      <x:c r="I64" s="14"/>
      <x:c r="J64" s="14"/>
      <x:c r="K64" s="14"/>
      <x:c r="L64" s="14"/>
      <x:c r="M64" s="14"/>
      <x:c r="N64" s="14"/>
      <x:c r="O64" s="14"/>
      <x:c r="P64" s="16" t="n">
        <x:f>IF(Premissas!$F$47=0,0,D64/Premissas!$F$47*360)</x:f>
        <x:v>8.571428571428571</x:v>
      </x:c>
      <x:c r="Q64" s="19"/>
      <x:c r="R64" s="19" t="n">
        <x:f>D64*Premissas!$C$15</x:f>
        <x:v>50314.28571428571</x:v>
      </x:c>
    </x:row>
    <x:row r="65" ht="23" customHeight="1">
      <x:c r="A65" s="1"/>
      <x:c r="B65" s="1" t="n">
        <x:v>59</x:v>
      </x:c>
      <x:c r="C65" s="1" t="n">
        <x:f>INT((B65-1)/12)+1</x:f>
        <x:v>5</x:v>
      </x:c>
      <x:c r="D65" s="14" t="n">
        <x:f>IF(AND(B65&gt;=Premissas!$C$18,B65&lt;Premissas!$C$18+Premissas!$C$19),Premissas!$F$47/Premissas!$C$19,0)</x:f>
        <x:v>3354285.714285714</x:v>
      </x:c>
      <x:c r="E65" s="14" t="n">
        <x:f>D65*Premissas!$C$20+SUMPRODUCT($D$7:D64,--($B$7:B64&gt;=B65-Premissas!$C$21))*(1-Premissas!$C$20)/Premissas!$C$21</x:f>
        <x:v>3354285.714285715</x:v>
      </x:c>
      <x:c r="F65" s="14"/>
      <x:c r="G65" s="14"/>
      <x:c r="H65" s="14"/>
      <x:c r="I65" s="14"/>
      <x:c r="J65" s="14"/>
      <x:c r="K65" s="14"/>
      <x:c r="L65" s="14"/>
      <x:c r="M65" s="14"/>
      <x:c r="N65" s="14"/>
      <x:c r="O65" s="14"/>
      <x:c r="P65" s="16" t="n">
        <x:f>IF(Premissas!$F$47=0,0,D65/Premissas!$F$47*360)</x:f>
        <x:v>8.571428571428571</x:v>
      </x:c>
      <x:c r="Q65" s="19"/>
      <x:c r="R65" s="19" t="n">
        <x:f>D65*Premissas!$C$15</x:f>
        <x:v>50314.28571428571</x:v>
      </x:c>
    </x:row>
    <x:row r="66" ht="23" customHeight="1">
      <x:c r="A66" s="1"/>
      <x:c r="B66" s="1" t="n">
        <x:v>60</x:v>
      </x:c>
      <x:c r="C66" s="1" t="n">
        <x:f>INT((B66-1)/12)+1</x:f>
        <x:v>5</x:v>
      </x:c>
      <x:c r="D66" s="14" t="n">
        <x:f>IF(AND(B66&gt;=Premissas!$C$18,B66&lt;Premissas!$C$18+Premissas!$C$19),Premissas!$F$47/Premissas!$C$19,0)</x:f>
        <x:v>3354285.714285714</x:v>
      </x:c>
      <x:c r="E66" s="14" t="n">
        <x:f>D66*Premissas!$C$20+SUMPRODUCT($D$7:D65,--($B$7:B65&gt;=B66-Premissas!$C$21))*(1-Premissas!$C$20)/Premissas!$C$21</x:f>
        <x:v>3354285.714285715</x:v>
      </x:c>
      <x:c r="F66" s="14"/>
      <x:c r="G66" s="14"/>
      <x:c r="H66" s="14"/>
      <x:c r="I66" s="14"/>
      <x:c r="J66" s="14"/>
      <x:c r="K66" s="14"/>
      <x:c r="L66" s="14"/>
      <x:c r="M66" s="14"/>
      <x:c r="N66" s="14"/>
      <x:c r="O66" s="14"/>
      <x:c r="P66" s="16" t="n">
        <x:f>IF(Premissas!$F$47=0,0,D66/Premissas!$F$47*360)</x:f>
        <x:v>8.571428571428571</x:v>
      </x:c>
      <x:c r="Q66" s="19"/>
      <x:c r="R66" s="19" t="n">
        <x:f>D66*Premissas!$C$15</x:f>
        <x:v>50314.28571428571</x:v>
      </x:c>
    </x:row>
    <x:row r="67" ht="23" customHeight="1">
      <x:c r="A67" s="1"/>
      <x:c r="B67" s="1" t="n">
        <x:v>61</x:v>
      </x:c>
      <x:c r="C67" s="1" t="n">
        <x:f>INT((B67-1)/12)+1</x:f>
        <x:v>6</x:v>
      </x:c>
      <x:c r="D67" s="14" t="n">
        <x:f>IF(AND(B67&gt;=Premissas!$C$18,B67&lt;Premissas!$C$18+Premissas!$C$19),Premissas!$F$47/Premissas!$C$19,0)</x:f>
        <x:v>0</x:v>
      </x:c>
      <x:c r="E67" s="14" t="n">
        <x:f>D67*Premissas!$C$20+SUMPRODUCT($D$7:D66,--($B$7:B66&gt;=B67-Premissas!$C$21))*(1-Premissas!$C$20)/Premissas!$C$21</x:f>
        <x:v>2348000.000000001</x:v>
      </x:c>
      <x:c r="F67" s="14"/>
      <x:c r="G67" s="14"/>
      <x:c r="H67" s="14"/>
      <x:c r="I67" s="14"/>
      <x:c r="J67" s="14"/>
      <x:c r="K67" s="14"/>
      <x:c r="L67" s="14"/>
      <x:c r="M67" s="14"/>
      <x:c r="N67" s="14"/>
      <x:c r="O67" s="14"/>
      <x:c r="P67" s="16" t="n">
        <x:f>IF(Premissas!$F$47=0,0,D67/Premissas!$F$47*360)</x:f>
        <x:v>0</x:v>
      </x:c>
      <x:c r="Q67" s="19"/>
      <x:c r="R67" s="19" t="n">
        <x:f>D67*Premissas!$C$15</x:f>
        <x:v>0</x:v>
      </x:c>
    </x:row>
    <x:row r="68" ht="23" customHeight="1">
      <x:c r="A68" s="1"/>
      <x:c r="B68" s="1" t="n">
        <x:v>62</x:v>
      </x:c>
      <x:c r="C68" s="1" t="n">
        <x:f>INT((B68-1)/12)+1</x:f>
        <x:v>6</x:v>
      </x:c>
      <x:c r="D68" s="14" t="n">
        <x:f>IF(AND(B68&gt;=Premissas!$C$18,B68&lt;Premissas!$C$18+Premissas!$C$19),Premissas!$F$47/Premissas!$C$19,0)</x:f>
        <x:v>0</x:v>
      </x:c>
      <x:c r="E68" s="14" t="n">
        <x:f>D68*Premissas!$C$20+SUMPRODUCT($D$7:D67,--($B$7:B67&gt;=B68-Premissas!$C$21))*(1-Premissas!$C$20)/Premissas!$C$21</x:f>
        <x:v>2282777.7777777785</x:v>
      </x:c>
      <x:c r="F68" s="14"/>
      <x:c r="G68" s="14"/>
      <x:c r="H68" s="14"/>
      <x:c r="I68" s="14"/>
      <x:c r="J68" s="14"/>
      <x:c r="K68" s="14"/>
      <x:c r="L68" s="14"/>
      <x:c r="M68" s="14"/>
      <x:c r="N68" s="14"/>
      <x:c r="O68" s="14"/>
      <x:c r="P68" s="16" t="n">
        <x:f>IF(Premissas!$F$47=0,0,D68/Premissas!$F$47*360)</x:f>
        <x:v>0</x:v>
      </x:c>
      <x:c r="Q68" s="19"/>
      <x:c r="R68" s="19" t="n">
        <x:f>D68*Premissas!$C$15</x:f>
        <x:v>0</x:v>
      </x:c>
    </x:row>
    <x:row r="69" ht="23" customHeight="1">
      <x:c r="A69" s="1"/>
      <x:c r="B69" s="1" t="n">
        <x:v>63</x:v>
      </x:c>
      <x:c r="C69" s="1" t="n">
        <x:f>INT((B69-1)/12)+1</x:f>
        <x:v>6</x:v>
      </x:c>
      <x:c r="D69" s="14" t="n">
        <x:f>IF(AND(B69&gt;=Premissas!$C$18,B69&lt;Premissas!$C$18+Premissas!$C$19),Premissas!$F$47/Premissas!$C$19,0)</x:f>
        <x:v>0</x:v>
      </x:c>
      <x:c r="E69" s="14" t="n">
        <x:f>D69*Premissas!$C$20+SUMPRODUCT($D$7:D68,--($B$7:B68&gt;=B69-Premissas!$C$21))*(1-Premissas!$C$20)/Premissas!$C$21</x:f>
        <x:v>2217555.5555555564</x:v>
      </x:c>
      <x:c r="F69" s="14"/>
      <x:c r="G69" s="14"/>
      <x:c r="H69" s="14"/>
      <x:c r="I69" s="14"/>
      <x:c r="J69" s="14"/>
      <x:c r="K69" s="14"/>
      <x:c r="L69" s="14"/>
      <x:c r="M69" s="14"/>
      <x:c r="N69" s="14"/>
      <x:c r="O69" s="14"/>
      <x:c r="P69" s="16" t="n">
        <x:f>IF(Premissas!$F$47=0,0,D69/Premissas!$F$47*360)</x:f>
        <x:v>0</x:v>
      </x:c>
      <x:c r="Q69" s="19"/>
      <x:c r="R69" s="19" t="n">
        <x:f>D69*Premissas!$C$15</x:f>
        <x:v>0</x:v>
      </x:c>
    </x:row>
    <x:row r="70" ht="23" customHeight="1">
      <x:c r="A70" s="1"/>
      <x:c r="B70" s="1" t="n">
        <x:v>64</x:v>
      </x:c>
      <x:c r="C70" s="1" t="n">
        <x:f>INT((B70-1)/12)+1</x:f>
        <x:v>6</x:v>
      </x:c>
      <x:c r="D70" s="14" t="n">
        <x:f>IF(AND(B70&gt;=Premissas!$C$18,B70&lt;Premissas!$C$18+Premissas!$C$19),Premissas!$F$47/Premissas!$C$19,0)</x:f>
        <x:v>0</x:v>
      </x:c>
      <x:c r="E70" s="14" t="n">
        <x:f>D70*Premissas!$C$20+SUMPRODUCT($D$7:D69,--($B$7:B69&gt;=B70-Premissas!$C$21))*(1-Premissas!$C$20)/Premissas!$C$21</x:f>
        <x:v>2152333.333333334</x:v>
      </x:c>
      <x:c r="F70" s="14"/>
      <x:c r="G70" s="14"/>
      <x:c r="H70" s="14"/>
      <x:c r="I70" s="14"/>
      <x:c r="J70" s="14"/>
      <x:c r="K70" s="14"/>
      <x:c r="L70" s="14"/>
      <x:c r="M70" s="14"/>
      <x:c r="N70" s="14"/>
      <x:c r="O70" s="14"/>
      <x:c r="P70" s="16" t="n">
        <x:f>IF(Premissas!$F$47=0,0,D70/Premissas!$F$47*360)</x:f>
        <x:v>0</x:v>
      </x:c>
      <x:c r="Q70" s="19"/>
      <x:c r="R70" s="19" t="n">
        <x:f>D70*Premissas!$C$15</x:f>
        <x:v>0</x:v>
      </x:c>
    </x:row>
    <x:row r="71" ht="23" customHeight="1">
      <x:c r="A71" s="1"/>
      <x:c r="B71" s="1" t="n">
        <x:v>65</x:v>
      </x:c>
      <x:c r="C71" s="1" t="n">
        <x:f>INT((B71-1)/12)+1</x:f>
        <x:v>6</x:v>
      </x:c>
      <x:c r="D71" s="14" t="n">
        <x:f>IF(AND(B71&gt;=Premissas!$C$18,B71&lt;Premissas!$C$18+Premissas!$C$19),Premissas!$F$47/Premissas!$C$19,0)</x:f>
        <x:v>0</x:v>
      </x:c>
      <x:c r="E71" s="14" t="n">
        <x:f>D71*Premissas!$C$20+SUMPRODUCT($D$7:D70,--($B$7:B70&gt;=B71-Premissas!$C$21))*(1-Premissas!$C$20)/Premissas!$C$21</x:f>
        <x:v>2087111.1111111115</x:v>
      </x:c>
      <x:c r="F71" s="14"/>
      <x:c r="G71" s="14"/>
      <x:c r="H71" s="14"/>
      <x:c r="I71" s="14"/>
      <x:c r="J71" s="14"/>
      <x:c r="K71" s="14"/>
      <x:c r="L71" s="14"/>
      <x:c r="M71" s="14"/>
      <x:c r="N71" s="14"/>
      <x:c r="O71" s="14"/>
      <x:c r="P71" s="16" t="n">
        <x:f>IF(Premissas!$F$47=0,0,D71/Premissas!$F$47*360)</x:f>
        <x:v>0</x:v>
      </x:c>
      <x:c r="Q71" s="19"/>
      <x:c r="R71" s="19" t="n">
        <x:f>D71*Premissas!$C$15</x:f>
        <x:v>0</x:v>
      </x:c>
    </x:row>
    <x:row r="72" ht="23" customHeight="1">
      <x:c r="A72" s="1"/>
      <x:c r="B72" s="1" t="n">
        <x:v>66</x:v>
      </x:c>
      <x:c r="C72" s="1" t="n">
        <x:f>INT((B72-1)/12)+1</x:f>
        <x:v>6</x:v>
      </x:c>
      <x:c r="D72" s="14" t="n">
        <x:f>IF(AND(B72&gt;=Premissas!$C$18,B72&lt;Premissas!$C$18+Premissas!$C$19),Premissas!$F$47/Premissas!$C$19,0)</x:f>
        <x:v>0</x:v>
      </x:c>
      <x:c r="E72" s="14" t="n">
        <x:f>D72*Premissas!$C$20+SUMPRODUCT($D$7:D71,--($B$7:B71&gt;=B72-Premissas!$C$21))*(1-Premissas!$C$20)/Premissas!$C$21</x:f>
        <x:v>2021888.8888888892</x:v>
      </x:c>
      <x:c r="F72" s="14"/>
      <x:c r="G72" s="14"/>
      <x:c r="H72" s="14"/>
      <x:c r="I72" s="14"/>
      <x:c r="J72" s="14"/>
      <x:c r="K72" s="14"/>
      <x:c r="L72" s="14"/>
      <x:c r="M72" s="14"/>
      <x:c r="N72" s="14"/>
      <x:c r="O72" s="14"/>
      <x:c r="P72" s="16" t="n">
        <x:f>IF(Premissas!$F$47=0,0,D72/Premissas!$F$47*360)</x:f>
        <x:v>0</x:v>
      </x:c>
      <x:c r="Q72" s="19"/>
      <x:c r="R72" s="19" t="n">
        <x:f>D72*Premissas!$C$15</x:f>
        <x:v>0</x:v>
      </x:c>
    </x:row>
    <x:row r="73" ht="23" customHeight="1">
      <x:c r="A73" s="1"/>
      <x:c r="B73" s="1" t="n">
        <x:v>67</x:v>
      </x:c>
      <x:c r="C73" s="1" t="n">
        <x:f>INT((B73-1)/12)+1</x:f>
        <x:v>6</x:v>
      </x:c>
      <x:c r="D73" s="14" t="n">
        <x:f>IF(AND(B73&gt;=Premissas!$C$18,B73&lt;Premissas!$C$18+Premissas!$C$19),Premissas!$F$47/Premissas!$C$19,0)</x:f>
        <x:v>0</x:v>
      </x:c>
      <x:c r="E73" s="14" t="n">
        <x:f>D73*Premissas!$C$20+SUMPRODUCT($D$7:D72,--($B$7:B72&gt;=B73-Premissas!$C$21))*(1-Premissas!$C$20)/Premissas!$C$21</x:f>
        <x:v>1956666.666666667</x:v>
      </x:c>
      <x:c r="F73" s="14"/>
      <x:c r="G73" s="14"/>
      <x:c r="H73" s="14"/>
      <x:c r="I73" s="14"/>
      <x:c r="J73" s="14"/>
      <x:c r="K73" s="14"/>
      <x:c r="L73" s="14"/>
      <x:c r="M73" s="14"/>
      <x:c r="N73" s="14"/>
      <x:c r="O73" s="14"/>
      <x:c r="P73" s="16" t="n">
        <x:f>IF(Premissas!$F$47=0,0,D73/Premissas!$F$47*360)</x:f>
        <x:v>0</x:v>
      </x:c>
      <x:c r="Q73" s="19"/>
      <x:c r="R73" s="19" t="n">
        <x:f>D73*Premissas!$C$15</x:f>
        <x:v>0</x:v>
      </x:c>
    </x:row>
    <x:row r="74" ht="23" customHeight="1">
      <x:c r="A74" s="1"/>
      <x:c r="B74" s="1" t="n">
        <x:v>68</x:v>
      </x:c>
      <x:c r="C74" s="1" t="n">
        <x:f>INT((B74-1)/12)+1</x:f>
        <x:v>6</x:v>
      </x:c>
      <x:c r="D74" s="14" t="n">
        <x:f>IF(AND(B74&gt;=Premissas!$C$18,B74&lt;Premissas!$C$18+Premissas!$C$19),Premissas!$F$47/Premissas!$C$19,0)</x:f>
        <x:v>0</x:v>
      </x:c>
      <x:c r="E74" s="14" t="n">
        <x:f>D74*Premissas!$C$20+SUMPRODUCT($D$7:D73,--($B$7:B73&gt;=B74-Premissas!$C$21))*(1-Premissas!$C$20)/Premissas!$C$21</x:f>
        <x:v>1891444.444444445</x:v>
      </x:c>
      <x:c r="F74" s="14"/>
      <x:c r="G74" s="14"/>
      <x:c r="H74" s="14"/>
      <x:c r="I74" s="14"/>
      <x:c r="J74" s="14"/>
      <x:c r="K74" s="14"/>
      <x:c r="L74" s="14"/>
      <x:c r="M74" s="14"/>
      <x:c r="N74" s="14"/>
      <x:c r="O74" s="14"/>
      <x:c r="P74" s="16" t="n">
        <x:f>IF(Premissas!$F$47=0,0,D74/Premissas!$F$47*360)</x:f>
        <x:v>0</x:v>
      </x:c>
      <x:c r="Q74" s="19"/>
      <x:c r="R74" s="19" t="n">
        <x:f>D74*Premissas!$C$15</x:f>
        <x:v>0</x:v>
      </x:c>
    </x:row>
    <x:row r="75" ht="23" customHeight="1">
      <x:c r="A75" s="1"/>
      <x:c r="B75" s="1" t="n">
        <x:v>69</x:v>
      </x:c>
      <x:c r="C75" s="1" t="n">
        <x:f>INT((B75-1)/12)+1</x:f>
        <x:v>6</x:v>
      </x:c>
      <x:c r="D75" s="14" t="n">
        <x:f>IF(AND(B75&gt;=Premissas!$C$18,B75&lt;Premissas!$C$18+Premissas!$C$19),Premissas!$F$47/Premissas!$C$19,0)</x:f>
        <x:v>0</x:v>
      </x:c>
      <x:c r="E75" s="14" t="n">
        <x:f>D75*Premissas!$C$20+SUMPRODUCT($D$7:D74,--($B$7:B74&gt;=B75-Premissas!$C$21))*(1-Premissas!$C$20)/Premissas!$C$21</x:f>
        <x:v>1826222.2222222227</x:v>
      </x:c>
      <x:c r="F75" s="14"/>
      <x:c r="G75" s="14"/>
      <x:c r="H75" s="14"/>
      <x:c r="I75" s="14"/>
      <x:c r="J75" s="14"/>
      <x:c r="K75" s="14"/>
      <x:c r="L75" s="14"/>
      <x:c r="M75" s="14"/>
      <x:c r="N75" s="14"/>
      <x:c r="O75" s="14"/>
      <x:c r="P75" s="16" t="n">
        <x:f>IF(Premissas!$F$47=0,0,D75/Premissas!$F$47*360)</x:f>
        <x:v>0</x:v>
      </x:c>
      <x:c r="Q75" s="19"/>
      <x:c r="R75" s="19" t="n">
        <x:f>D75*Premissas!$C$15</x:f>
        <x:v>0</x:v>
      </x:c>
    </x:row>
    <x:row r="76" ht="23" customHeight="1">
      <x:c r="A76" s="1"/>
      <x:c r="B76" s="1" t="n">
        <x:v>70</x:v>
      </x:c>
      <x:c r="C76" s="1" t="n">
        <x:f>INT((B76-1)/12)+1</x:f>
        <x:v>6</x:v>
      </x:c>
      <x:c r="D76" s="14" t="n">
        <x:f>IF(AND(B76&gt;=Premissas!$C$18,B76&lt;Premissas!$C$18+Premissas!$C$19),Premissas!$F$47/Premissas!$C$19,0)</x:f>
        <x:v>0</x:v>
      </x:c>
      <x:c r="E76" s="14" t="n">
        <x:f>D76*Premissas!$C$20+SUMPRODUCT($D$7:D75,--($B$7:B75&gt;=B76-Premissas!$C$21))*(1-Premissas!$C$20)/Premissas!$C$21</x:f>
        <x:v>1761000.0000000005</x:v>
      </x:c>
      <x:c r="F76" s="14"/>
      <x:c r="G76" s="14"/>
      <x:c r="H76" s="14"/>
      <x:c r="I76" s="14"/>
      <x:c r="J76" s="14"/>
      <x:c r="K76" s="14"/>
      <x:c r="L76" s="14"/>
      <x:c r="M76" s="14"/>
      <x:c r="N76" s="14"/>
      <x:c r="O76" s="14"/>
      <x:c r="P76" s="16" t="n">
        <x:f>IF(Premissas!$F$47=0,0,D76/Premissas!$F$47*360)</x:f>
        <x:v>0</x:v>
      </x:c>
      <x:c r="Q76" s="19"/>
      <x:c r="R76" s="19" t="n">
        <x:f>D76*Premissas!$C$15</x:f>
        <x:v>0</x:v>
      </x:c>
    </x:row>
    <x:row r="77" ht="23" customHeight="1">
      <x:c r="A77" s="1"/>
      <x:c r="B77" s="1" t="n">
        <x:v>71</x:v>
      </x:c>
      <x:c r="C77" s="1" t="n">
        <x:f>INT((B77-1)/12)+1</x:f>
        <x:v>6</x:v>
      </x:c>
      <x:c r="D77" s="14" t="n">
        <x:f>IF(AND(B77&gt;=Premissas!$C$18,B77&lt;Premissas!$C$18+Premissas!$C$19),Premissas!$F$47/Premissas!$C$19,0)</x:f>
        <x:v>0</x:v>
      </x:c>
      <x:c r="E77" s="14" t="n">
        <x:f>D77*Premissas!$C$20+SUMPRODUCT($D$7:D76,--($B$7:B76&gt;=B77-Premissas!$C$21))*(1-Premissas!$C$20)/Premissas!$C$21</x:f>
        <x:v>1695777.7777777782</x:v>
      </x:c>
      <x:c r="F77" s="14"/>
      <x:c r="G77" s="14"/>
      <x:c r="H77" s="14"/>
      <x:c r="I77" s="14"/>
      <x:c r="J77" s="14"/>
      <x:c r="K77" s="14"/>
      <x:c r="L77" s="14"/>
      <x:c r="M77" s="14"/>
      <x:c r="N77" s="14"/>
      <x:c r="O77" s="14"/>
      <x:c r="P77" s="16" t="n">
        <x:f>IF(Premissas!$F$47=0,0,D77/Premissas!$F$47*360)</x:f>
        <x:v>0</x:v>
      </x:c>
      <x:c r="Q77" s="19"/>
      <x:c r="R77" s="19" t="n">
        <x:f>D77*Premissas!$C$15</x:f>
        <x:v>0</x:v>
      </x:c>
    </x:row>
    <x:row r="78" ht="23" customHeight="1">
      <x:c r="A78" s="1"/>
      <x:c r="B78" s="1" t="n">
        <x:v>72</x:v>
      </x:c>
      <x:c r="C78" s="1" t="n">
        <x:f>INT((B78-1)/12)+1</x:f>
        <x:v>6</x:v>
      </x:c>
      <x:c r="D78" s="14" t="n">
        <x:f>IF(AND(B78&gt;=Premissas!$C$18,B78&lt;Premissas!$C$18+Premissas!$C$19),Premissas!$F$47/Premissas!$C$19,0)</x:f>
        <x:v>0</x:v>
      </x:c>
      <x:c r="E78" s="14" t="n">
        <x:f>D78*Premissas!$C$20+SUMPRODUCT($D$7:D77,--($B$7:B77&gt;=B78-Premissas!$C$21))*(1-Premissas!$C$20)/Premissas!$C$21</x:f>
        <x:v>1630555.555555556</x:v>
      </x:c>
      <x:c r="F78" s="14"/>
      <x:c r="G78" s="14"/>
      <x:c r="H78" s="14"/>
      <x:c r="I78" s="14"/>
      <x:c r="J78" s="14"/>
      <x:c r="K78" s="14"/>
      <x:c r="L78" s="14"/>
      <x:c r="M78" s="14"/>
      <x:c r="N78" s="14"/>
      <x:c r="O78" s="14"/>
      <x:c r="P78" s="16" t="n">
        <x:f>IF(Premissas!$F$47=0,0,D78/Premissas!$F$47*360)</x:f>
        <x:v>0</x:v>
      </x:c>
      <x:c r="Q78" s="19"/>
      <x:c r="R78" s="19" t="n">
        <x:f>D78*Premissas!$C$15</x:f>
        <x:v>0</x:v>
      </x:c>
    </x:row>
    <x:row r="79" ht="23" customHeight="1">
      <x:c r="A79" s="1"/>
      <x:c r="B79" s="1" t="n">
        <x:v>73</x:v>
      </x:c>
      <x:c r="C79" s="1" t="n">
        <x:f>INT((B79-1)/12)+1</x:f>
        <x:v>7</x:v>
      </x:c>
      <x:c r="D79" s="14" t="n">
        <x:f>IF(AND(B79&gt;=Premissas!$C$18,B79&lt;Premissas!$C$18+Premissas!$C$19),Premissas!$F$47/Premissas!$C$19,0)</x:f>
        <x:v>0</x:v>
      </x:c>
      <x:c r="E79" s="14" t="n">
        <x:f>D79*Premissas!$C$20+SUMPRODUCT($D$7:D78,--($B$7:B78&gt;=B79-Premissas!$C$21))*(1-Premissas!$C$20)/Premissas!$C$21</x:f>
        <x:v>1565333.3333333337</x:v>
      </x:c>
      <x:c r="F79" s="14"/>
      <x:c r="G79" s="14"/>
      <x:c r="H79" s="14"/>
      <x:c r="I79" s="14"/>
      <x:c r="J79" s="14"/>
      <x:c r="K79" s="14"/>
      <x:c r="L79" s="14"/>
      <x:c r="M79" s="14"/>
      <x:c r="N79" s="14"/>
      <x:c r="O79" s="14"/>
      <x:c r="P79" s="16" t="n">
        <x:f>IF(Premissas!$F$47=0,0,D79/Premissas!$F$47*360)</x:f>
        <x:v>0</x:v>
      </x:c>
      <x:c r="Q79" s="19"/>
      <x:c r="R79" s="19" t="n">
        <x:f>D79*Premissas!$C$15</x:f>
        <x:v>0</x:v>
      </x:c>
    </x:row>
    <x:row r="80" ht="23" customHeight="1">
      <x:c r="A80" s="1"/>
      <x:c r="B80" s="1" t="n">
        <x:v>74</x:v>
      </x:c>
      <x:c r="C80" s="1" t="n">
        <x:f>INT((B80-1)/12)+1</x:f>
        <x:v>7</x:v>
      </x:c>
      <x:c r="D80" s="14" t="n">
        <x:f>IF(AND(B80&gt;=Premissas!$C$18,B80&lt;Premissas!$C$18+Premissas!$C$19),Premissas!$F$47/Premissas!$C$19,0)</x:f>
        <x:v>0</x:v>
      </x:c>
      <x:c r="E80" s="14" t="n">
        <x:f>D80*Premissas!$C$20+SUMPRODUCT($D$7:D79,--($B$7:B79&gt;=B80-Premissas!$C$21))*(1-Premissas!$C$20)/Premissas!$C$21</x:f>
        <x:v>1500111.1111111112</x:v>
      </x:c>
      <x:c r="F80" s="14"/>
      <x:c r="G80" s="14"/>
      <x:c r="H80" s="14"/>
      <x:c r="I80" s="14"/>
      <x:c r="J80" s="14"/>
      <x:c r="K80" s="14"/>
      <x:c r="L80" s="14"/>
      <x:c r="M80" s="14"/>
      <x:c r="N80" s="14"/>
      <x:c r="O80" s="14"/>
      <x:c r="P80" s="16" t="n">
        <x:f>IF(Premissas!$F$47=0,0,D80/Premissas!$F$47*360)</x:f>
        <x:v>0</x:v>
      </x:c>
      <x:c r="Q80" s="19"/>
      <x:c r="R80" s="19" t="n">
        <x:f>D80*Premissas!$C$15</x:f>
        <x:v>0</x:v>
      </x:c>
    </x:row>
    <x:row r="81" ht="23" customHeight="1">
      <x:c r="A81" s="1"/>
      <x:c r="B81" s="1" t="n">
        <x:v>75</x:v>
      </x:c>
      <x:c r="C81" s="1" t="n">
        <x:f>INT((B81-1)/12)+1</x:f>
        <x:v>7</x:v>
      </x:c>
      <x:c r="D81" s="14" t="n">
        <x:f>IF(AND(B81&gt;=Premissas!$C$18,B81&lt;Premissas!$C$18+Premissas!$C$19),Premissas!$F$47/Premissas!$C$19,0)</x:f>
        <x:v>0</x:v>
      </x:c>
      <x:c r="E81" s="14" t="n">
        <x:f>D81*Premissas!$C$20+SUMPRODUCT($D$7:D80,--($B$7:B80&gt;=B81-Premissas!$C$21))*(1-Premissas!$C$20)/Premissas!$C$21</x:f>
        <x:v>1434888.888888889</x:v>
      </x:c>
      <x:c r="F81" s="14"/>
      <x:c r="G81" s="14"/>
      <x:c r="H81" s="14"/>
      <x:c r="I81" s="14"/>
      <x:c r="J81" s="14"/>
      <x:c r="K81" s="14"/>
      <x:c r="L81" s="14"/>
      <x:c r="M81" s="14"/>
      <x:c r="N81" s="14"/>
      <x:c r="O81" s="14"/>
      <x:c r="P81" s="16" t="n">
        <x:f>IF(Premissas!$F$47=0,0,D81/Premissas!$F$47*360)</x:f>
        <x:v>0</x:v>
      </x:c>
      <x:c r="Q81" s="19"/>
      <x:c r="R81" s="19" t="n">
        <x:f>D81*Premissas!$C$15</x:f>
        <x:v>0</x:v>
      </x:c>
    </x:row>
    <x:row r="82" ht="23" customHeight="1">
      <x:c r="A82" s="1"/>
      <x:c r="B82" s="1" t="n">
        <x:v>76</x:v>
      </x:c>
      <x:c r="C82" s="1" t="n">
        <x:f>INT((B82-1)/12)+1</x:f>
        <x:v>7</x:v>
      </x:c>
      <x:c r="D82" s="14" t="n">
        <x:f>IF(AND(B82&gt;=Premissas!$C$18,B82&lt;Premissas!$C$18+Premissas!$C$19),Premissas!$F$47/Premissas!$C$19,0)</x:f>
        <x:v>0</x:v>
      </x:c>
      <x:c r="E82" s="14" t="n">
        <x:f>D82*Premissas!$C$20+SUMPRODUCT($D$7:D81,--($B$7:B81&gt;=B82-Premissas!$C$21))*(1-Premissas!$C$20)/Premissas!$C$21</x:f>
        <x:v>1369666.666666667</x:v>
      </x:c>
      <x:c r="F82" s="14"/>
      <x:c r="G82" s="14"/>
      <x:c r="H82" s="14"/>
      <x:c r="I82" s="14"/>
      <x:c r="J82" s="14"/>
      <x:c r="K82" s="14"/>
      <x:c r="L82" s="14"/>
      <x:c r="M82" s="14"/>
      <x:c r="N82" s="14"/>
      <x:c r="O82" s="14"/>
      <x:c r="P82" s="16" t="n">
        <x:f>IF(Premissas!$F$47=0,0,D82/Premissas!$F$47*360)</x:f>
        <x:v>0</x:v>
      </x:c>
      <x:c r="Q82" s="19"/>
      <x:c r="R82" s="19" t="n">
        <x:f>D82*Premissas!$C$15</x:f>
        <x:v>0</x:v>
      </x:c>
    </x:row>
    <x:row r="83" ht="23" customHeight="1">
      <x:c r="A83" s="1"/>
      <x:c r="B83" s="1" t="n">
        <x:v>77</x:v>
      </x:c>
      <x:c r="C83" s="1" t="n">
        <x:f>INT((B83-1)/12)+1</x:f>
        <x:v>7</x:v>
      </x:c>
      <x:c r="D83" s="14" t="n">
        <x:f>IF(AND(B83&gt;=Premissas!$C$18,B83&lt;Premissas!$C$18+Premissas!$C$19),Premissas!$F$47/Premissas!$C$19,0)</x:f>
        <x:v>0</x:v>
      </x:c>
      <x:c r="E83" s="14" t="n">
        <x:f>D83*Premissas!$C$20+SUMPRODUCT($D$7:D82,--($B$7:B82&gt;=B83-Premissas!$C$21))*(1-Premissas!$C$20)/Premissas!$C$21</x:f>
        <x:v>1304444.4444444447</x:v>
      </x:c>
      <x:c r="F83" s="14"/>
      <x:c r="G83" s="14"/>
      <x:c r="H83" s="14"/>
      <x:c r="I83" s="14"/>
      <x:c r="J83" s="14"/>
      <x:c r="K83" s="14"/>
      <x:c r="L83" s="14"/>
      <x:c r="M83" s="14"/>
      <x:c r="N83" s="14"/>
      <x:c r="O83" s="14"/>
      <x:c r="P83" s="16" t="n">
        <x:f>IF(Premissas!$F$47=0,0,D83/Premissas!$F$47*360)</x:f>
        <x:v>0</x:v>
      </x:c>
      <x:c r="Q83" s="19"/>
      <x:c r="R83" s="19" t="n">
        <x:f>D83*Premissas!$C$15</x:f>
        <x:v>0</x:v>
      </x:c>
    </x:row>
    <x:row r="84" ht="23" customHeight="1">
      <x:c r="A84" s="1"/>
      <x:c r="B84" s="1" t="n">
        <x:v>78</x:v>
      </x:c>
      <x:c r="C84" s="1" t="n">
        <x:f>INT((B84-1)/12)+1</x:f>
        <x:v>7</x:v>
      </x:c>
      <x:c r="D84" s="14" t="n">
        <x:f>IF(AND(B84&gt;=Premissas!$C$18,B84&lt;Premissas!$C$18+Premissas!$C$19),Premissas!$F$47/Premissas!$C$19,0)</x:f>
        <x:v>0</x:v>
      </x:c>
      <x:c r="E84" s="14" t="n">
        <x:f>D84*Premissas!$C$20+SUMPRODUCT($D$7:D83,--($B$7:B83&gt;=B84-Premissas!$C$21))*(1-Premissas!$C$20)/Premissas!$C$21</x:f>
        <x:v>1239222.2222222225</x:v>
      </x:c>
      <x:c r="F84" s="14"/>
      <x:c r="G84" s="14"/>
      <x:c r="H84" s="14"/>
      <x:c r="I84" s="14"/>
      <x:c r="J84" s="14"/>
      <x:c r="K84" s="14"/>
      <x:c r="L84" s="14"/>
      <x:c r="M84" s="14"/>
      <x:c r="N84" s="14"/>
      <x:c r="O84" s="14"/>
      <x:c r="P84" s="16" t="n">
        <x:f>IF(Premissas!$F$47=0,0,D84/Premissas!$F$47*360)</x:f>
        <x:v>0</x:v>
      </x:c>
      <x:c r="Q84" s="19"/>
      <x:c r="R84" s="19" t="n">
        <x:f>D84*Premissas!$C$15</x:f>
        <x:v>0</x:v>
      </x:c>
    </x:row>
    <x:row r="85" ht="23" customHeight="1">
      <x:c r="A85" s="1"/>
      <x:c r="B85" s="1" t="n">
        <x:v>79</x:v>
      </x:c>
      <x:c r="C85" s="1" t="n">
        <x:f>INT((B85-1)/12)+1</x:f>
        <x:v>7</x:v>
      </x:c>
      <x:c r="D85" s="14" t="n">
        <x:f>IF(AND(B85&gt;=Premissas!$C$18,B85&lt;Premissas!$C$18+Premissas!$C$19),Premissas!$F$47/Premissas!$C$19,0)</x:f>
        <x:v>0</x:v>
      </x:c>
      <x:c r="E85" s="14" t="n">
        <x:f>D85*Premissas!$C$20+SUMPRODUCT($D$7:D84,--($B$7:B84&gt;=B85-Premissas!$C$21))*(1-Premissas!$C$20)/Premissas!$C$21</x:f>
        <x:v>1174000</x:v>
      </x:c>
      <x:c r="F85" s="14"/>
      <x:c r="G85" s="14"/>
      <x:c r="H85" s="14"/>
      <x:c r="I85" s="14"/>
      <x:c r="J85" s="14"/>
      <x:c r="K85" s="14"/>
      <x:c r="L85" s="14"/>
      <x:c r="M85" s="14"/>
      <x:c r="N85" s="14"/>
      <x:c r="O85" s="14"/>
      <x:c r="P85" s="16" t="n">
        <x:f>IF(Premissas!$F$47=0,0,D85/Premissas!$F$47*360)</x:f>
        <x:v>0</x:v>
      </x:c>
      <x:c r="Q85" s="19"/>
      <x:c r="R85" s="19" t="n">
        <x:f>D85*Premissas!$C$15</x:f>
        <x:v>0</x:v>
      </x:c>
    </x:row>
    <x:row r="86" ht="23" customHeight="1">
      <x:c r="A86" s="1"/>
      <x:c r="B86" s="1" t="n">
        <x:v>80</x:v>
      </x:c>
      <x:c r="C86" s="1" t="n">
        <x:f>INT((B86-1)/12)+1</x:f>
        <x:v>7</x:v>
      </x:c>
      <x:c r="D86" s="14" t="n">
        <x:f>IF(AND(B86&gt;=Premissas!$C$18,B86&lt;Premissas!$C$18+Premissas!$C$19),Premissas!$F$47/Premissas!$C$19,0)</x:f>
        <x:v>0</x:v>
      </x:c>
      <x:c r="E86" s="14" t="n">
        <x:f>D86*Premissas!$C$20+SUMPRODUCT($D$7:D85,--($B$7:B85&gt;=B86-Premissas!$C$21))*(1-Premissas!$C$20)/Premissas!$C$21</x:f>
        <x:v>1108777.7777777778</x:v>
      </x:c>
      <x:c r="F86" s="14"/>
      <x:c r="G86" s="14"/>
      <x:c r="H86" s="14"/>
      <x:c r="I86" s="14"/>
      <x:c r="J86" s="14"/>
      <x:c r="K86" s="14"/>
      <x:c r="L86" s="14"/>
      <x:c r="M86" s="14"/>
      <x:c r="N86" s="14"/>
      <x:c r="O86" s="14"/>
      <x:c r="P86" s="16" t="n">
        <x:f>IF(Premissas!$F$47=0,0,D86/Premissas!$F$47*360)</x:f>
        <x:v>0</x:v>
      </x:c>
      <x:c r="Q86" s="19"/>
      <x:c r="R86" s="19" t="n">
        <x:f>D86*Premissas!$C$15</x:f>
        <x:v>0</x:v>
      </x:c>
    </x:row>
    <x:row r="87" ht="23" customHeight="1">
      <x:c r="A87" s="1"/>
      <x:c r="B87" s="1" t="n">
        <x:v>81</x:v>
      </x:c>
      <x:c r="C87" s="1" t="n">
        <x:f>INT((B87-1)/12)+1</x:f>
        <x:v>7</x:v>
      </x:c>
      <x:c r="D87" s="14" t="n">
        <x:f>IF(AND(B87&gt;=Premissas!$C$18,B87&lt;Premissas!$C$18+Premissas!$C$19),Premissas!$F$47/Premissas!$C$19,0)</x:f>
        <x:v>0</x:v>
      </x:c>
      <x:c r="E87" s="14" t="n">
        <x:f>D87*Premissas!$C$20+SUMPRODUCT($D$7:D86,--($B$7:B86&gt;=B87-Premissas!$C$21))*(1-Premissas!$C$20)/Premissas!$C$21</x:f>
        <x:v>1043555.5555555555</x:v>
      </x:c>
      <x:c r="F87" s="14"/>
      <x:c r="G87" s="14"/>
      <x:c r="H87" s="14"/>
      <x:c r="I87" s="14"/>
      <x:c r="J87" s="14"/>
      <x:c r="K87" s="14"/>
      <x:c r="L87" s="14"/>
      <x:c r="M87" s="14"/>
      <x:c r="N87" s="14"/>
      <x:c r="O87" s="14"/>
      <x:c r="P87" s="16" t="n">
        <x:f>IF(Premissas!$F$47=0,0,D87/Premissas!$F$47*360)</x:f>
        <x:v>0</x:v>
      </x:c>
      <x:c r="Q87" s="19"/>
      <x:c r="R87" s="19" t="n">
        <x:f>D87*Premissas!$C$15</x:f>
        <x:v>0</x:v>
      </x:c>
    </x:row>
    <x:row r="88" ht="23" customHeight="1">
      <x:c r="A88" s="1"/>
      <x:c r="B88" s="1" t="n">
        <x:v>82</x:v>
      </x:c>
      <x:c r="C88" s="1" t="n">
        <x:f>INT((B88-1)/12)+1</x:f>
        <x:v>7</x:v>
      </x:c>
      <x:c r="D88" s="14" t="n">
        <x:f>IF(AND(B88&gt;=Premissas!$C$18,B88&lt;Premissas!$C$18+Premissas!$C$19),Premissas!$F$47/Premissas!$C$19,0)</x:f>
        <x:v>0</x:v>
      </x:c>
      <x:c r="E88" s="14" t="n">
        <x:f>D88*Premissas!$C$20+SUMPRODUCT($D$7:D87,--($B$7:B87&gt;=B88-Premissas!$C$21))*(1-Premissas!$C$20)/Premissas!$C$21</x:f>
        <x:v>978333.3333333334</x:v>
      </x:c>
      <x:c r="F88" s="14"/>
      <x:c r="G88" s="14"/>
      <x:c r="H88" s="14"/>
      <x:c r="I88" s="14"/>
      <x:c r="J88" s="14"/>
      <x:c r="K88" s="14"/>
      <x:c r="L88" s="14"/>
      <x:c r="M88" s="14"/>
      <x:c r="N88" s="14"/>
      <x:c r="O88" s="14"/>
      <x:c r="P88" s="16" t="n">
        <x:f>IF(Premissas!$F$47=0,0,D88/Premissas!$F$47*360)</x:f>
        <x:v>0</x:v>
      </x:c>
      <x:c r="Q88" s="19"/>
      <x:c r="R88" s="19" t="n">
        <x:f>D88*Premissas!$C$15</x:f>
        <x:v>0</x:v>
      </x:c>
    </x:row>
    <x:row r="89" ht="23" customHeight="1">
      <x:c r="A89" s="1"/>
      <x:c r="B89" s="1" t="n">
        <x:v>83</x:v>
      </x:c>
      <x:c r="C89" s="1" t="n">
        <x:f>INT((B89-1)/12)+1</x:f>
        <x:v>7</x:v>
      </x:c>
      <x:c r="D89" s="14" t="n">
        <x:f>IF(AND(B89&gt;=Premissas!$C$18,B89&lt;Premissas!$C$18+Premissas!$C$19),Premissas!$F$47/Premissas!$C$19,0)</x:f>
        <x:v>0</x:v>
      </x:c>
      <x:c r="E89" s="14" t="n">
        <x:f>D89*Premissas!$C$20+SUMPRODUCT($D$7:D88,--($B$7:B88&gt;=B89-Premissas!$C$21))*(1-Premissas!$C$20)/Premissas!$C$21</x:f>
        <x:v>913111.111111111</x:v>
      </x:c>
      <x:c r="F89" s="14"/>
      <x:c r="G89" s="14"/>
      <x:c r="H89" s="14"/>
      <x:c r="I89" s="14"/>
      <x:c r="J89" s="14"/>
      <x:c r="K89" s="14"/>
      <x:c r="L89" s="14"/>
      <x:c r="M89" s="14"/>
      <x:c r="N89" s="14"/>
      <x:c r="O89" s="14"/>
      <x:c r="P89" s="16" t="n">
        <x:f>IF(Premissas!$F$47=0,0,D89/Premissas!$F$47*360)</x:f>
        <x:v>0</x:v>
      </x:c>
      <x:c r="Q89" s="19"/>
      <x:c r="R89" s="19" t="n">
        <x:f>D89*Premissas!$C$15</x:f>
        <x:v>0</x:v>
      </x:c>
    </x:row>
    <x:row r="90" ht="23" customHeight="1">
      <x:c r="A90" s="1"/>
      <x:c r="B90" s="1" t="n">
        <x:v>84</x:v>
      </x:c>
      <x:c r="C90" s="1" t="n">
        <x:f>INT((B90-1)/12)+1</x:f>
        <x:v>7</x:v>
      </x:c>
      <x:c r="D90" s="14" t="n">
        <x:f>IF(AND(B90&gt;=Premissas!$C$18,B90&lt;Premissas!$C$18+Premissas!$C$19),Premissas!$F$47/Premissas!$C$19,0)</x:f>
        <x:v>0</x:v>
      </x:c>
      <x:c r="E90" s="14" t="n">
        <x:f>D90*Premissas!$C$20+SUMPRODUCT($D$7:D89,--($B$7:B89&gt;=B90-Premissas!$C$21))*(1-Premissas!$C$20)/Premissas!$C$21</x:f>
        <x:v>847888.8888888888</x:v>
      </x:c>
      <x:c r="F90" s="14"/>
      <x:c r="G90" s="14"/>
      <x:c r="H90" s="14"/>
      <x:c r="I90" s="14"/>
      <x:c r="J90" s="14"/>
      <x:c r="K90" s="14"/>
      <x:c r="L90" s="14"/>
      <x:c r="M90" s="14"/>
      <x:c r="N90" s="14"/>
      <x:c r="O90" s="14"/>
      <x:c r="P90" s="16" t="n">
        <x:f>IF(Premissas!$F$47=0,0,D90/Premissas!$F$47*360)</x:f>
        <x:v>0</x:v>
      </x:c>
      <x:c r="Q90" s="19"/>
      <x:c r="R90" s="19" t="n">
        <x:f>D90*Premissas!$C$15</x:f>
        <x:v>0</x:v>
      </x:c>
    </x:row>
    <x:row r="91" ht="23" customHeight="1">
      <x:c r="A91" s="1"/>
      <x:c r="B91" s="1" t="n">
        <x:v>85</x:v>
      </x:c>
      <x:c r="C91" s="1" t="n">
        <x:f>INT((B91-1)/12)+1</x:f>
        <x:v>8</x:v>
      </x:c>
      <x:c r="D91" s="14" t="n">
        <x:f>IF(AND(B91&gt;=Premissas!$C$18,B91&lt;Premissas!$C$18+Premissas!$C$19),Premissas!$F$47/Premissas!$C$19,0)</x:f>
        <x:v>0</x:v>
      </x:c>
      <x:c r="E91" s="14" t="n">
        <x:f>D91*Premissas!$C$20+SUMPRODUCT($D$7:D90,--($B$7:B90&gt;=B91-Premissas!$C$21))*(1-Premissas!$C$20)/Premissas!$C$21</x:f>
        <x:v>782666.6666666665</x:v>
      </x:c>
      <x:c r="F91" s="14"/>
      <x:c r="G91" s="14"/>
      <x:c r="H91" s="14"/>
      <x:c r="I91" s="14"/>
      <x:c r="J91" s="14"/>
      <x:c r="K91" s="14"/>
      <x:c r="L91" s="14"/>
      <x:c r="M91" s="14"/>
      <x:c r="N91" s="14"/>
      <x:c r="O91" s="14"/>
      <x:c r="P91" s="16" t="n">
        <x:f>IF(Premissas!$F$47=0,0,D91/Premissas!$F$47*360)</x:f>
        <x:v>0</x:v>
      </x:c>
      <x:c r="Q91" s="19"/>
      <x:c r="R91" s="19" t="n">
        <x:f>D91*Premissas!$C$15</x:f>
        <x:v>0</x:v>
      </x:c>
    </x:row>
    <x:row r="92" ht="23" customHeight="1">
      <x:c r="A92" s="1"/>
      <x:c r="B92" s="1" t="n">
        <x:v>86</x:v>
      </x:c>
      <x:c r="C92" s="1" t="n">
        <x:f>INT((B92-1)/12)+1</x:f>
        <x:v>8</x:v>
      </x:c>
      <x:c r="D92" s="14" t="n">
        <x:f>IF(AND(B92&gt;=Premissas!$C$18,B92&lt;Premissas!$C$18+Premissas!$C$19),Premissas!$F$47/Premissas!$C$19,0)</x:f>
        <x:v>0</x:v>
      </x:c>
      <x:c r="E92" s="14" t="n">
        <x:f>D92*Premissas!$C$20+SUMPRODUCT($D$7:D91,--($B$7:B91&gt;=B92-Premissas!$C$21))*(1-Premissas!$C$20)/Premissas!$C$21</x:f>
        <x:v>717444.4444444443</x:v>
      </x:c>
      <x:c r="F92" s="14"/>
      <x:c r="G92" s="14"/>
      <x:c r="H92" s="14"/>
      <x:c r="I92" s="14"/>
      <x:c r="J92" s="14"/>
      <x:c r="K92" s="14"/>
      <x:c r="L92" s="14"/>
      <x:c r="M92" s="14"/>
      <x:c r="N92" s="14"/>
      <x:c r="O92" s="14"/>
      <x:c r="P92" s="16" t="n">
        <x:f>IF(Premissas!$F$47=0,0,D92/Premissas!$F$47*360)</x:f>
        <x:v>0</x:v>
      </x:c>
      <x:c r="Q92" s="19"/>
      <x:c r="R92" s="19" t="n">
        <x:f>D92*Premissas!$C$15</x:f>
        <x:v>0</x:v>
      </x:c>
    </x:row>
    <x:row r="93" ht="23" customHeight="1">
      <x:c r="A93" s="1"/>
      <x:c r="B93" s="1" t="n">
        <x:v>87</x:v>
      </x:c>
      <x:c r="C93" s="1" t="n">
        <x:f>INT((B93-1)/12)+1</x:f>
        <x:v>8</x:v>
      </x:c>
      <x:c r="D93" s="14" t="n">
        <x:f>IF(AND(B93&gt;=Premissas!$C$18,B93&lt;Premissas!$C$18+Premissas!$C$19),Premissas!$F$47/Premissas!$C$19,0)</x:f>
        <x:v>0</x:v>
      </x:c>
      <x:c r="E93" s="14" t="n">
        <x:f>D93*Premissas!$C$20+SUMPRODUCT($D$7:D92,--($B$7:B92&gt;=B93-Premissas!$C$21))*(1-Premissas!$C$20)/Premissas!$C$21</x:f>
        <x:v>652222.222222222</x:v>
      </x:c>
      <x:c r="F93" s="14"/>
      <x:c r="G93" s="14"/>
      <x:c r="H93" s="14"/>
      <x:c r="I93" s="14"/>
      <x:c r="J93" s="14"/>
      <x:c r="K93" s="14"/>
      <x:c r="L93" s="14"/>
      <x:c r="M93" s="14"/>
      <x:c r="N93" s="14"/>
      <x:c r="O93" s="14"/>
      <x:c r="P93" s="16" t="n">
        <x:f>IF(Premissas!$F$47=0,0,D93/Premissas!$F$47*360)</x:f>
        <x:v>0</x:v>
      </x:c>
      <x:c r="Q93" s="19"/>
      <x:c r="R93" s="19" t="n">
        <x:f>D93*Premissas!$C$15</x:f>
        <x:v>0</x:v>
      </x:c>
    </x:row>
    <x:row r="94" ht="23" customHeight="1">
      <x:c r="A94" s="1"/>
      <x:c r="B94" s="1" t="n">
        <x:v>88</x:v>
      </x:c>
      <x:c r="C94" s="1" t="n">
        <x:f>INT((B94-1)/12)+1</x:f>
        <x:v>8</x:v>
      </x:c>
      <x:c r="D94" s="14" t="n">
        <x:f>IF(AND(B94&gt;=Premissas!$C$18,B94&lt;Premissas!$C$18+Premissas!$C$19),Premissas!$F$47/Premissas!$C$19,0)</x:f>
        <x:v>0</x:v>
      </x:c>
      <x:c r="E94" s="14" t="n">
        <x:f>D94*Premissas!$C$20+SUMPRODUCT($D$7:D93,--($B$7:B93&gt;=B94-Premissas!$C$21))*(1-Premissas!$C$20)/Premissas!$C$21</x:f>
        <x:v>586999.9999999998</x:v>
      </x:c>
      <x:c r="F94" s="14"/>
      <x:c r="G94" s="14"/>
      <x:c r="H94" s="14"/>
      <x:c r="I94" s="14"/>
      <x:c r="J94" s="14"/>
      <x:c r="K94" s="14"/>
      <x:c r="L94" s="14"/>
      <x:c r="M94" s="14"/>
      <x:c r="N94" s="14"/>
      <x:c r="O94" s="14"/>
      <x:c r="P94" s="16" t="n">
        <x:f>IF(Premissas!$F$47=0,0,D94/Premissas!$F$47*360)</x:f>
        <x:v>0</x:v>
      </x:c>
      <x:c r="Q94" s="19"/>
      <x:c r="R94" s="19" t="n">
        <x:f>D94*Premissas!$C$15</x:f>
        <x:v>0</x:v>
      </x:c>
    </x:row>
    <x:row r="95" ht="23" customHeight="1">
      <x:c r="A95" s="1"/>
      <x:c r="B95" s="1" t="n">
        <x:v>89</x:v>
      </x:c>
      <x:c r="C95" s="1" t="n">
        <x:f>INT((B95-1)/12)+1</x:f>
        <x:v>8</x:v>
      </x:c>
      <x:c r="D95" s="14" t="n">
        <x:f>IF(AND(B95&gt;=Premissas!$C$18,B95&lt;Premissas!$C$18+Premissas!$C$19),Premissas!$F$47/Premissas!$C$19,0)</x:f>
        <x:v>0</x:v>
      </x:c>
      <x:c r="E95" s="14" t="n">
        <x:f>D95*Premissas!$C$20+SUMPRODUCT($D$7:D94,--($B$7:B94&gt;=B95-Premissas!$C$21))*(1-Premissas!$C$20)/Premissas!$C$21</x:f>
        <x:v>521777.7777777777</x:v>
      </x:c>
      <x:c r="F95" s="14"/>
      <x:c r="G95" s="14"/>
      <x:c r="H95" s="14"/>
      <x:c r="I95" s="14"/>
      <x:c r="J95" s="14"/>
      <x:c r="K95" s="14"/>
      <x:c r="L95" s="14"/>
      <x:c r="M95" s="14"/>
      <x:c r="N95" s="14"/>
      <x:c r="O95" s="14"/>
      <x:c r="P95" s="16" t="n">
        <x:f>IF(Premissas!$F$47=0,0,D95/Premissas!$F$47*360)</x:f>
        <x:v>0</x:v>
      </x:c>
      <x:c r="Q95" s="19"/>
      <x:c r="R95" s="19" t="n">
        <x:f>D95*Premissas!$C$15</x:f>
        <x:v>0</x:v>
      </x:c>
    </x:row>
    <x:row r="96" ht="23" customHeight="1">
      <x:c r="A96" s="1"/>
      <x:c r="B96" s="1" t="n">
        <x:v>90</x:v>
      </x:c>
      <x:c r="C96" s="1" t="n">
        <x:f>INT((B96-1)/12)+1</x:f>
        <x:v>8</x:v>
      </x:c>
      <x:c r="D96" s="14" t="n">
        <x:f>IF(AND(B96&gt;=Premissas!$C$18,B96&lt;Premissas!$C$18+Premissas!$C$19),Premissas!$F$47/Premissas!$C$19,0)</x:f>
        <x:v>0</x:v>
      </x:c>
      <x:c r="E96" s="14" t="n">
        <x:f>D96*Premissas!$C$20+SUMPRODUCT($D$7:D95,--($B$7:B95&gt;=B96-Premissas!$C$21))*(1-Premissas!$C$20)/Premissas!$C$21</x:f>
        <x:v>456555.55555555545</x:v>
      </x:c>
      <x:c r="F96" s="14"/>
      <x:c r="G96" s="14"/>
      <x:c r="H96" s="14"/>
      <x:c r="I96" s="14"/>
      <x:c r="J96" s="14"/>
      <x:c r="K96" s="14"/>
      <x:c r="L96" s="14"/>
      <x:c r="M96" s="14"/>
      <x:c r="N96" s="14"/>
      <x:c r="O96" s="14"/>
      <x:c r="P96" s="16" t="n">
        <x:f>IF(Premissas!$F$47=0,0,D96/Premissas!$F$47*360)</x:f>
        <x:v>0</x:v>
      </x:c>
      <x:c r="Q96" s="19"/>
      <x:c r="R96" s="19" t="n">
        <x:f>D96*Premissas!$C$15</x:f>
        <x:v>0</x:v>
      </x:c>
    </x:row>
    <x:row r="97" ht="23" customHeight="1">
      <x:c r="A97" s="1"/>
      <x:c r="B97" s="1" t="n">
        <x:v>91</x:v>
      </x:c>
      <x:c r="C97" s="1" t="n">
        <x:f>INT((B97-1)/12)+1</x:f>
        <x:v>8</x:v>
      </x:c>
      <x:c r="D97" s="14" t="n">
        <x:f>IF(AND(B97&gt;=Premissas!$C$18,B97&lt;Premissas!$C$18+Premissas!$C$19),Premissas!$F$47/Premissas!$C$19,0)</x:f>
        <x:v>0</x:v>
      </x:c>
      <x:c r="E97" s="14" t="n">
        <x:f>D97*Premissas!$C$20+SUMPRODUCT($D$7:D96,--($B$7:B96&gt;=B97-Premissas!$C$21))*(1-Premissas!$C$20)/Premissas!$C$21</x:f>
        <x:v>391333.33333333326</x:v>
      </x:c>
      <x:c r="F97" s="14"/>
      <x:c r="G97" s="14"/>
      <x:c r="H97" s="14"/>
      <x:c r="I97" s="14"/>
      <x:c r="J97" s="14"/>
      <x:c r="K97" s="14"/>
      <x:c r="L97" s="14"/>
      <x:c r="M97" s="14"/>
      <x:c r="N97" s="14"/>
      <x:c r="O97" s="14"/>
      <x:c r="P97" s="16" t="n">
        <x:f>IF(Premissas!$F$47=0,0,D97/Premissas!$F$47*360)</x:f>
        <x:v>0</x:v>
      </x:c>
      <x:c r="Q97" s="19"/>
      <x:c r="R97" s="19" t="n">
        <x:f>D97*Premissas!$C$15</x:f>
        <x:v>0</x:v>
      </x:c>
    </x:row>
    <x:row r="98" ht="23" customHeight="1">
      <x:c r="A98" s="1"/>
      <x:c r="B98" s="1" t="n">
        <x:v>92</x:v>
      </x:c>
      <x:c r="C98" s="1" t="n">
        <x:f>INT((B98-1)/12)+1</x:f>
        <x:v>8</x:v>
      </x:c>
      <x:c r="D98" s="14" t="n">
        <x:f>IF(AND(B98&gt;=Premissas!$C$18,B98&lt;Premissas!$C$18+Premissas!$C$19),Premissas!$F$47/Premissas!$C$19,0)</x:f>
        <x:v>0</x:v>
      </x:c>
      <x:c r="E98" s="14" t="n">
        <x:f>D98*Premissas!$C$20+SUMPRODUCT($D$7:D97,--($B$7:B97&gt;=B98-Premissas!$C$21))*(1-Premissas!$C$20)/Premissas!$C$21</x:f>
        <x:v>326111.11111111107</x:v>
      </x:c>
      <x:c r="F98" s="14"/>
      <x:c r="G98" s="14"/>
      <x:c r="H98" s="14"/>
      <x:c r="I98" s="14"/>
      <x:c r="J98" s="14"/>
      <x:c r="K98" s="14"/>
      <x:c r="L98" s="14"/>
      <x:c r="M98" s="14"/>
      <x:c r="N98" s="14"/>
      <x:c r="O98" s="14"/>
      <x:c r="P98" s="16" t="n">
        <x:f>IF(Premissas!$F$47=0,0,D98/Premissas!$F$47*360)</x:f>
        <x:v>0</x:v>
      </x:c>
      <x:c r="Q98" s="19"/>
      <x:c r="R98" s="19" t="n">
        <x:f>D98*Premissas!$C$15</x:f>
        <x:v>0</x:v>
      </x:c>
    </x:row>
    <x:row r="99" ht="23" customHeight="1">
      <x:c r="A99" s="1"/>
      <x:c r="B99" s="1" t="n">
        <x:v>93</x:v>
      </x:c>
      <x:c r="C99" s="1" t="n">
        <x:f>INT((B99-1)/12)+1</x:f>
        <x:v>8</x:v>
      </x:c>
      <x:c r="D99" s="14" t="n">
        <x:f>IF(AND(B99&gt;=Premissas!$C$18,B99&lt;Premissas!$C$18+Premissas!$C$19),Premissas!$F$47/Premissas!$C$19,0)</x:f>
        <x:v>0</x:v>
      </x:c>
      <x:c r="E99" s="14" t="n">
        <x:f>D99*Premissas!$C$20+SUMPRODUCT($D$7:D98,--($B$7:B98&gt;=B99-Premissas!$C$21))*(1-Premissas!$C$20)/Premissas!$C$21</x:f>
        <x:v>260888.88888888885</x:v>
      </x:c>
      <x:c r="F99" s="14"/>
      <x:c r="G99" s="14"/>
      <x:c r="H99" s="14"/>
      <x:c r="I99" s="14"/>
      <x:c r="J99" s="14"/>
      <x:c r="K99" s="14"/>
      <x:c r="L99" s="14"/>
      <x:c r="M99" s="14"/>
      <x:c r="N99" s="14"/>
      <x:c r="O99" s="14"/>
      <x:c r="P99" s="16" t="n">
        <x:f>IF(Premissas!$F$47=0,0,D99/Premissas!$F$47*360)</x:f>
        <x:v>0</x:v>
      </x:c>
      <x:c r="Q99" s="19"/>
      <x:c r="R99" s="19" t="n">
        <x:f>D99*Premissas!$C$15</x:f>
        <x:v>0</x:v>
      </x:c>
    </x:row>
    <x:row r="100" ht="23" customHeight="1">
      <x:c r="A100" s="1"/>
      <x:c r="B100" s="1" t="n">
        <x:v>94</x:v>
      </x:c>
      <x:c r="C100" s="1" t="n">
        <x:f>INT((B100-1)/12)+1</x:f>
        <x:v>8</x:v>
      </x:c>
      <x:c r="D100" s="14" t="n">
        <x:f>IF(AND(B100&gt;=Premissas!$C$18,B100&lt;Premissas!$C$18+Premissas!$C$19),Premissas!$F$47/Premissas!$C$19,0)</x:f>
        <x:v>0</x:v>
      </x:c>
      <x:c r="E100" s="14" t="n">
        <x:f>D100*Premissas!$C$20+SUMPRODUCT($D$7:D99,--($B$7:B99&gt;=B100-Premissas!$C$21))*(1-Premissas!$C$20)/Premissas!$C$21</x:f>
        <x:v>195666.66666666663</x:v>
      </x:c>
      <x:c r="F100" s="14"/>
      <x:c r="G100" s="14"/>
      <x:c r="H100" s="14"/>
      <x:c r="I100" s="14"/>
      <x:c r="J100" s="14"/>
      <x:c r="K100" s="14"/>
      <x:c r="L100" s="14"/>
      <x:c r="M100" s="14"/>
      <x:c r="N100" s="14"/>
      <x:c r="O100" s="14"/>
      <x:c r="P100" s="16" t="n">
        <x:f>IF(Premissas!$F$47=0,0,D100/Premissas!$F$47*360)</x:f>
        <x:v>0</x:v>
      </x:c>
      <x:c r="Q100" s="19"/>
      <x:c r="R100" s="19" t="n">
        <x:f>D100*Premissas!$C$15</x:f>
        <x:v>0</x:v>
      </x:c>
    </x:row>
    <x:row r="101" ht="23" customHeight="1">
      <x:c r="A101" s="1"/>
      <x:c r="B101" s="1" t="n">
        <x:v>95</x:v>
      </x:c>
      <x:c r="C101" s="1" t="n">
        <x:f>INT((B101-1)/12)+1</x:f>
        <x:v>8</x:v>
      </x:c>
      <x:c r="D101" s="14" t="n">
        <x:f>IF(AND(B101&gt;=Premissas!$C$18,B101&lt;Premissas!$C$18+Premissas!$C$19),Premissas!$F$47/Premissas!$C$19,0)</x:f>
        <x:v>0</x:v>
      </x:c>
      <x:c r="E101" s="14" t="n">
        <x:f>D101*Premissas!$C$20+SUMPRODUCT($D$7:D100,--($B$7:B100&gt;=B101-Premissas!$C$21))*(1-Premissas!$C$20)/Premissas!$C$21</x:f>
        <x:v>130444.44444444442</x:v>
      </x:c>
      <x:c r="F101" s="14"/>
      <x:c r="G101" s="14"/>
      <x:c r="H101" s="14"/>
      <x:c r="I101" s="14"/>
      <x:c r="J101" s="14"/>
      <x:c r="K101" s="14"/>
      <x:c r="L101" s="14"/>
      <x:c r="M101" s="14"/>
      <x:c r="N101" s="14"/>
      <x:c r="O101" s="14"/>
      <x:c r="P101" s="16" t="n">
        <x:f>IF(Premissas!$F$47=0,0,D101/Premissas!$F$47*360)</x:f>
        <x:v>0</x:v>
      </x:c>
      <x:c r="Q101" s="19"/>
      <x:c r="R101" s="19" t="n">
        <x:f>D101*Premissas!$C$15</x:f>
        <x:v>0</x:v>
      </x:c>
    </x:row>
    <x:row r="102" ht="23" customHeight="1">
      <x:c r="A102" s="1"/>
      <x:c r="B102" s="1" t="n">
        <x:v>96</x:v>
      </x:c>
      <x:c r="C102" s="1" t="n">
        <x:f>INT((B102-1)/12)+1</x:f>
        <x:v>8</x:v>
      </x:c>
      <x:c r="D102" s="14" t="n">
        <x:f>IF(AND(B102&gt;=Premissas!$C$18,B102&lt;Premissas!$C$18+Premissas!$C$19),Premissas!$F$47/Premissas!$C$19,0)</x:f>
        <x:v>0</x:v>
      </x:c>
      <x:c r="E102" s="14" t="n">
        <x:f>D102*Premissas!$C$20+SUMPRODUCT($D$7:D101,--($B$7:B101&gt;=B102-Premissas!$C$21))*(1-Premissas!$C$20)/Premissas!$C$21</x:f>
        <x:v>65222.22222222221</x:v>
      </x:c>
      <x:c r="F102" s="14"/>
      <x:c r="G102" s="14"/>
      <x:c r="H102" s="14"/>
      <x:c r="I102" s="14"/>
      <x:c r="J102" s="14"/>
      <x:c r="K102" s="14"/>
      <x:c r="L102" s="14"/>
      <x:c r="M102" s="14"/>
      <x:c r="N102" s="14"/>
      <x:c r="O102" s="14"/>
      <x:c r="P102" s="16" t="n">
        <x:f>IF(Premissas!$F$47=0,0,D102/Premissas!$F$47*360)</x:f>
        <x:v>0</x:v>
      </x:c>
      <x:c r="Q102" s="19"/>
      <x:c r="R102" s="19" t="n">
        <x:f>D102*Premissas!$C$15</x:f>
        <x:v>0</x:v>
      </x:c>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conditionalFormatting sqref="O7:O102">
    <x:cfRule type="cellIs" dxfId="0" priority="1" operator="lessThan">
      <x:formula>0</x:formula>
    </x:cfRule>
  </x:conditionalFormatting>
  <x:pageMargins left="0.7" right="0.7" top="0.75" bottom="0.75" header="0.3" footer="0.3"/>
  <x:drawing xmlns:r="http://schemas.openxmlformats.org/officeDocument/2006/relationships" r:id="R5d5944e9b25c476b"/>
</x:worksheet>
</file>

<file path=xl/worksheets/sheet6.xml><?xml version="1.0" encoding="utf-8"?>
<x:worksheet xmlns:x="http://schemas.openxmlformats.org/spreadsheetml/2006/main">
  <x:sheetViews>
    <x:sheetView showGridLines="0" workbookViewId="0"/>
  </x:sheetViews>
  <x:sheetFormatPr defaultRowHeight="15"/>
  <x:cols>
    <x:col min="1" max="1" width="3" hidden="0" customWidth="1"/>
    <x:col min="2" max="2" width="48" hidden="0" customWidth="1"/>
    <x:col min="3" max="3" width="30" hidden="0" customWidth="1"/>
    <x:col min="4" max="4" width="15" hidden="0" customWidth="1"/>
    <x:col min="5" max="5" width="15" hidden="0" customWidth="1"/>
    <x:col min="6" max="6" width="15" hidden="0" customWidth="1"/>
    <x:col min="7" max="7" width="45" hidden="0" customWidth="1"/>
    <x:col min="8" max="8" width="90"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Mercado</x:v>
      </x:c>
      <x:c r="C2" s="32"/>
      <x:c r="D2" s="32"/>
      <x:c r="E2" s="32"/>
      <x:c r="F2" s="32"/>
      <x:c r="G2" s="32"/>
      <x:c r="H2" s="32"/>
      <x:c r="I2" s="1"/>
      <x:c r="J2" s="1"/>
      <x:c r="K2" s="1"/>
      <x:c r="L2" s="1"/>
      <x:c r="M2" s="1"/>
      <x:c r="N2" s="1"/>
      <x:c r="O2" s="1"/>
      <x:c r="P2" s="1"/>
    </x:row>
    <x:row r="3" ht="26" customHeight="1">
      <x:c r="A3" s="1"/>
      <x:c r="B3" s="34" t="str">
        <x:v>Gislaine Araujo Silva | 02/11/2026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Referência</x:v>
      </x:c>
      <x:c r="C6" s="8" t="str">
        <x:v>Cidade</x:v>
      </x:c>
      <x:c r="D6" s="8" t="str">
        <x:v>Área privativa m²</x:v>
      </x:c>
      <x:c r="E6" s="8" t="str">
        <x:v>Preço USD</x:v>
      </x:c>
      <x:c r="F6" s="8" t="str">
        <x:v>USD/m² calculado</x:v>
      </x:c>
      <x:c r="G6" s="8" t="str">
        <x:v>Data / tipo</x:v>
      </x:c>
      <x:c r="H6" s="8" t="str">
        <x:v>Aplicação</x:v>
      </x:c>
      <x:c r="I6" s="1"/>
      <x:c r="J6" s="1"/>
      <x:c r="K6" s="1"/>
      <x:c r="L6" s="1"/>
      <x:c r="M6" s="1"/>
      <x:c r="N6" s="1"/>
      <x:c r="O6" s="1"/>
      <x:c r="P6" s="1"/>
    </x:row>
    <x:row r="7" ht="86" customHeight="1">
      <x:c r="A7" s="1"/>
      <x:c r="B7" s="10" t="str">
        <x:v>M01 Rialto — anúncio atribuído C21 Platinum</x:v>
      </x:c>
      <x:c r="C7" s="10" t="str">
        <x:v>Nueva Asunción</x:v>
      </x:c>
      <x:c r="D7" s="10"/>
      <x:c r="E7" s="17" t="n">
        <x:v>83000</x:v>
      </x:c>
      <x:c r="F7" s="17"/>
      <x:c r="G7" s="10" t="str">
        <x:v>2026-06-19 / atualização29jun | Oferta em portal, intermediário identificado; não transação</x:v>
      </x:c>
      <x:c r="H7" s="10" t="str">
        <x:v>Cabeçalho450m² e83000USD; descrição185/195/215/220/225USD/m² por setor. Campo detalhes exibe4502 em conflito com cabeçalho. Preferir faixa textual diretamente publicada. Portal atribuiC21Platinum, não é confirmação de venda.</x:v>
      </x:c>
      <x:c r="I7" s="1"/>
      <x:c r="J7" s="1"/>
      <x:c r="K7" s="1"/>
      <x:c r="L7" s="1"/>
      <x:c r="M7" s="1"/>
      <x:c r="N7" s="1"/>
      <x:c r="O7" s="1"/>
      <x:c r="P7" s="1"/>
    </x:row>
    <x:row r="8" ht="86" customHeight="1">
      <x:c r="A8" s="1"/>
      <x:c r="B8" s="10" t="str">
        <x:v>M02 Aquadelta — incorporador</x:v>
      </x:c>
      <x:c r="C8" s="10" t="str">
        <x:v>Limpio / rio Paraguay</x:v>
      </x:c>
      <x:c r="D8" s="10"/>
      <x:c r="E8" s="17" t="n">
        <x:v>75000</x:v>
      </x:c>
      <x:c r="F8" s="17"/>
      <x:c r="G8" s="10" t="str">
        <x:v>sem data explícita | Preço inicial de lançamento anunciado</x:v>
      </x:c>
      <x:c r="H8" s="10" t="str">
        <x:v>Preço DESDE75000USD;600m² é MÉDIA e não área vinculada ao preço. É incorreto derivar125USD/m².25%entrada e810USDparceladesde/10anos não definem um único contrato.</x:v>
      </x:c>
      <x:c r="I8" s="1"/>
      <x:c r="J8" s="1"/>
      <x:c r="K8" s="1"/>
      <x:c r="L8" s="1"/>
      <x:c r="M8" s="1"/>
      <x:c r="N8" s="1"/>
      <x:c r="O8" s="1"/>
      <x:c r="P8" s="1"/>
    </x:row>
    <x:row r="9" ht="86" customHeight="1">
      <x:c r="A9" s="1"/>
      <x:c r="B9" s="10" t="str">
        <x:v>M03 Aqua Village — Brokers BRO1760</x:v>
      </x:c>
      <x:c r="C9" s="10" t="str">
        <x:v>Altos</x:v>
      </x:c>
      <x:c r="D9" s="10" t="n">
        <x:v>596</x:v>
      </x:c>
      <x:c r="E9" s="17" t="n">
        <x:v>135000</x:v>
      </x:c>
      <x:c r="F9" s="17" t="n">
        <x:f>E9/D9</x:f>
        <x:v>226.51006711409397</x:v>
      </x:c>
      <x:c r="G9" s="10" t="str">
        <x:v>2026-10-14 | Oferta direta de corretora</x:v>
      </x:c>
      <x:c r="H9" s="10" t="str">
        <x:v>Oferta596m²,135000USD:226,51USD/m² derivado. Corretora não prova preço transacionado nem aplicabilidade ao imóvelHeroes.</x:v>
      </x:c>
      <x:c r="I9" s="1"/>
      <x:c r="J9" s="1"/>
      <x:c r="K9" s="1"/>
      <x:c r="L9" s="1"/>
      <x:c r="M9" s="1"/>
      <x:c r="N9" s="1"/>
      <x:c r="O9" s="1"/>
      <x:c r="P9" s="1"/>
    </x:row>
    <x:row r="10" ht="86" customHeight="1">
      <x:c r="A10" s="1"/>
      <x:c r="B10" s="10" t="str">
        <x:v>M04 Costa del Lago — Sothebys lote17</x:v>
      </x:c>
      <x:c r="C10" s="10" t="str">
        <x:v>Hernandarias</x:v>
      </x:c>
      <x:c r="D10" s="10" t="n">
        <x:v>633.3</x:v>
      </x:c>
      <x:c r="E10" s="17" t="n">
        <x:v>64000</x:v>
      </x:c>
      <x:c r="F10" s="17" t="n">
        <x:f>E10/D10</x:f>
        <x:v>101.05795041844308</x:v>
      </x:c>
      <x:c r="G10" s="10" t="str">
        <x:v>sem data explícita | Oferta direta de corretora</x:v>
      </x:c>
      <x:c r="H10" s="10" t="str">
        <x:v>Texto explicita lote17área633,3m² e64000USD. Outro lote641,5m²/65000USD não constitui empreendimento independente.</x:v>
      </x:c>
      <x:c r="I10" s="1"/>
      <x:c r="J10" s="1"/>
      <x:c r="K10" s="1"/>
      <x:c r="L10" s="1"/>
      <x:c r="M10" s="1"/>
      <x:c r="N10" s="1"/>
      <x:c r="O10" s="1"/>
      <x:c r="P10" s="1"/>
    </x:row>
    <x:row r="11" ht="86" customHeight="1">
      <x:c r="A11" s="1"/>
      <x:c r="B11" s="10" t="str">
        <x:v>M05 La Ribera — tabela C21 Platinum</x:v>
      </x:c>
      <x:c r="C11" s="10" t="str">
        <x:v>Nueva Asunción — localização a corroborar no empreendimento</x:v>
      </x:c>
      <x:c r="D11" s="10" t="n">
        <x:v>467</x:v>
      </x:c>
      <x:c r="E11" s="17"/>
      <x:c r="F11" s="17"/>
      <x:c r="G11" s="10" t="str">
        <x:v>2025-10-21 pelo título | Tabela de oferta poço e parcelamento</x:v>
      </x:c>
      <x:c r="H11" s="10" t="str">
        <x:v>Tabela211025.983m²TOTAL incluem467PRÓPRIOS.350,33por m²PRÓPRIO na moeda$;166,43por m²total não é equivalente ao privativoHeroes. MoedaUSD é inferência ainda não confirmada, não apresentar como comprovada pela tabela.</x:v>
      </x:c>
      <x:c r="I11" s="1"/>
      <x:c r="J11" s="1"/>
      <x:c r="K11" s="1"/>
      <x:c r="L11" s="1"/>
      <x:c r="M11" s="1"/>
      <x:c r="N11" s="1"/>
      <x:c r="O11" s="1"/>
      <x:c r="P11" s="1"/>
    </x:row>
    <x:row r="12" ht="86" customHeight="1">
      <x:c r="A12" s="1"/>
      <x:c r="B12" s="10" t="str">
        <x:v>M06 Barrio Nautico — tabela C21 Platinum</x:v>
      </x:c>
      <x:c r="C12" s="10" t="str">
        <x:v>Não confirmada nesta tabela</x:v>
      </x:c>
      <x:c r="D12" s="10" t="n">
        <x:v>471.69</x:v>
      </x:c>
      <x:c r="E12" s="17"/>
      <x:c r="F12" s="17"/>
      <x:c r="G12" s="10" t="str">
        <x:v>caminho2025/10, data do preço não explícita | Tabela comercial anunciada</x:v>
      </x:c>
      <x:c r="H12" s="10" t="str">
        <x:v>CódigoBNA-M13-L1 mostra471,69m²/230por m²/108488,70total;faixa220–240. Sem cidade/identidade completa nem data do preço. Não é comparável local confirmado.</x:v>
      </x:c>
      <x:c r="I12" s="1"/>
      <x:c r="J12" s="1"/>
      <x:c r="K12" s="1"/>
      <x:c r="L12" s="1"/>
      <x:c r="M12" s="1"/>
      <x:c r="N12" s="1"/>
      <x:c r="O12" s="1"/>
      <x:c r="P12" s="1"/>
    </x:row>
    <x:row r="13" ht="86" customHeight="1">
      <x:c r="A13" s="1"/>
      <x:c r="B13" s="10" t="str">
        <x:v>M07 Bosque Lago — HJGroup/Inmo Paraguay</x:v>
      </x:c>
      <x:c r="C13" s="10" t="str">
        <x:v>Nueva Asunción</x:v>
      </x:c>
      <x:c r="D13" s="10"/>
      <x:c r="E13" s="17"/>
      <x:c r="F13" s="17"/>
      <x:c r="G13" s="10" t="str">
        <x:v>consulta2026-11-02 | Programa e financiamento do comercializador</x:v>
      </x:c>
      <x:c r="H13" s="10" t="str">
        <x:v>Página SEM PREÇO DE VENDA integral.120–1400m²;10%entrada e120parcelas ou sem entrada240meses;20%descontoàvista.750vendidos declaração comercial sem série, não provaabsorção.</x:v>
      </x:c>
      <x:c r="I13" s="1"/>
      <x:c r="J13" s="1"/>
      <x:c r="K13" s="1"/>
      <x:c r="L13" s="1"/>
      <x:c r="M13" s="1"/>
      <x:c r="N13" s="1"/>
      <x:c r="O13" s="1"/>
      <x:c r="P13" s="1"/>
    </x:row>
    <x:row r="14" ht="86" customHeight="1">
      <x:c r="A14" s="1"/>
      <x:c r="B14" s="10" t="str">
        <x:v>M08 Los Sauces — comercializador</x:v>
      </x:c>
      <x:c r="C14" s="10" t="str">
        <x:v>José Falcón / Chacoi</x:v>
      </x:c>
      <x:c r="D14" s="10" t="n">
        <x:v>360</x:v>
      </x:c>
      <x:c r="E14" s="17"/>
      <x:c r="F14" s="17"/>
      <x:c r="G14" s="10" t="str">
        <x:v>consulta2026-11-02 | Programa e condição inicial de financiamento</x:v>
      </x:c>
      <x:c r="H14" s="10" t="str">
        <x:v>Página SEM PREÇO DE VENDA integral.1000entrada/156parceladesde/até240meses são condições independentes. Não somar para gerar preço àvista.360m²desde e513lotes/20ha precisam conciliação se usados para densidade.</x:v>
      </x:c>
      <x:c r="I14" s="1"/>
      <x:c r="J14" s="1"/>
      <x:c r="K14" s="1"/>
      <x:c r="L14" s="1"/>
      <x:c r="M14" s="1"/>
      <x:c r="N14" s="1"/>
      <x:c r="O14" s="1"/>
      <x:c r="P14" s="1"/>
    </x:row>
    <x:row r="15" ht="23" customHeight="1">
      <x:c r="A15" s="1"/>
      <x:c r="B15" s="1"/>
      <x:c r="C15" s="1"/>
      <x:c r="D15" s="1"/>
      <x:c r="E15" s="1"/>
      <x:c r="F15" s="1"/>
      <x:c r="G15" s="1"/>
      <x:c r="H15" s="1"/>
      <x:c r="I15" s="1"/>
      <x:c r="J15" s="1"/>
      <x:c r="K15" s="1"/>
      <x:c r="L15" s="1"/>
      <x:c r="M15" s="1"/>
      <x:c r="N15" s="1"/>
      <x:c r="O15" s="1"/>
      <x:c r="P15" s="1"/>
    </x:row>
    <x:row r="16" ht="23" customHeight="1">
      <x:c r="A16" s="1"/>
      <x:c r="B16" s="1"/>
      <x:c r="C16" s="1"/>
      <x:c r="D16" s="1"/>
      <x:c r="E16" s="1"/>
      <x:c r="F16" s="1"/>
      <x:c r="G16" s="1"/>
      <x:c r="H16" s="1"/>
      <x:c r="I16" s="1"/>
      <x:c r="J16" s="1"/>
      <x:c r="K16" s="1"/>
      <x:c r="L16" s="1"/>
      <x:c r="M16" s="1"/>
      <x:c r="N16" s="1"/>
      <x:c r="O16" s="1"/>
      <x:c r="P16" s="1"/>
    </x:row>
    <x:row r="17" ht="23" customHeight="1">
      <x:c r="A17" s="1"/>
      <x:c r="B17" s="1" t="str">
        <x:v>Ofertas anunciadas não comprovam transações. Não há série suficiente para estimar absorção.</x:v>
      </x:c>
      <x:c r="C17" s="1"/>
      <x:c r="D17" s="1"/>
      <x:c r="E17" s="1"/>
      <x:c r="F17" s="1"/>
      <x:c r="G17" s="1"/>
      <x:c r="H17" s="1"/>
      <x:c r="I17" s="1"/>
      <x:c r="J17" s="1"/>
      <x:c r="K17" s="1"/>
      <x:c r="L17" s="1"/>
      <x:c r="M17" s="1"/>
      <x:c r="N17" s="1"/>
      <x:c r="O17" s="1"/>
      <x:c r="P17" s="1"/>
    </x:row>
    <x:row r="18" ht="23" customHeight="1">
      <x:c r="A18" s="1"/>
      <x:c r="B18" s="1"/>
      <x:c r="C18" s="1"/>
      <x:c r="D18" s="1"/>
      <x:c r="E18" s="1"/>
      <x:c r="F18" s="1"/>
      <x:c r="G18" s="1"/>
      <x:c r="H18" s="1"/>
      <x:c r="I18" s="1"/>
      <x:c r="J18" s="1"/>
      <x:c r="K18" s="1"/>
      <x:c r="L18" s="1"/>
      <x:c r="M18" s="1"/>
      <x:c r="N18" s="1"/>
      <x:c r="O18" s="1"/>
      <x:c r="P18" s="1"/>
    </x:row>
    <x:row r="19" ht="23" customHeight="1">
      <x:c r="A19" s="1"/>
      <x:c r="B19" s="1"/>
      <x:c r="C19" s="1"/>
      <x:c r="D19" s="1"/>
      <x:c r="E19" s="1"/>
      <x:c r="F19" s="1"/>
      <x:c r="G19" s="1"/>
      <x:c r="H19" s="1"/>
      <x:c r="I19" s="1"/>
      <x:c r="J19" s="1"/>
      <x:c r="K19" s="1"/>
      <x:c r="L19" s="1"/>
      <x:c r="M19" s="1"/>
      <x:c r="N19" s="1"/>
      <x:c r="O19" s="1"/>
      <x:c r="P19" s="1"/>
    </x:row>
    <x:row r="20" ht="23" customHeight="1">
      <x:c r="A20" s="1"/>
      <x:c r="B20" s="1"/>
      <x:c r="C20" s="1"/>
      <x:c r="D20" s="1"/>
      <x:c r="E20" s="1"/>
      <x:c r="F20" s="1"/>
      <x:c r="G20" s="1"/>
      <x:c r="H20" s="1"/>
      <x:c r="I20" s="1"/>
      <x:c r="J20" s="1"/>
      <x:c r="K20" s="1"/>
      <x:c r="L20" s="1"/>
      <x:c r="M20" s="1"/>
      <x:c r="N20" s="1"/>
      <x:c r="O20" s="1"/>
      <x:c r="P20" s="1"/>
    </x:row>
    <x:row r="21" ht="23" customHeight="1">
      <x:c r="A21" s="1"/>
      <x:c r="B21" s="1"/>
      <x:c r="C21" s="1"/>
      <x:c r="D21" s="1"/>
      <x:c r="E21" s="1"/>
      <x:c r="F21" s="1"/>
      <x:c r="G21" s="1"/>
      <x:c r="H21" s="1"/>
      <x:c r="I21" s="1"/>
      <x:c r="J21" s="1"/>
      <x:c r="K21" s="1"/>
      <x:c r="L21" s="1"/>
      <x:c r="M21" s="1"/>
      <x:c r="N21" s="1"/>
      <x:c r="O21" s="1"/>
      <x:c r="P21" s="1"/>
    </x:row>
    <x:row r="22" ht="23" customHeight="1">
      <x:c r="A22" s="1"/>
      <x:c r="B22" s="1"/>
      <x:c r="C22" s="1"/>
      <x:c r="D22" s="1"/>
      <x:c r="E22" s="1"/>
      <x:c r="F22" s="1"/>
      <x:c r="G22" s="1"/>
      <x:c r="H22" s="1"/>
      <x:c r="I22" s="1"/>
      <x:c r="J22" s="1"/>
      <x:c r="K22" s="1"/>
      <x:c r="L22" s="1"/>
      <x:c r="M22" s="1"/>
      <x:c r="N22" s="1"/>
      <x:c r="O22" s="1"/>
      <x:c r="P22" s="1"/>
    </x:row>
    <x:row r="23" ht="23" customHeight="1">
      <x:c r="A23" s="1"/>
      <x:c r="B23" s="1"/>
      <x:c r="C23" s="1"/>
      <x:c r="D23" s="1"/>
      <x:c r="E23" s="1"/>
      <x:c r="F23" s="1"/>
      <x:c r="G23" s="1"/>
      <x:c r="H23" s="1"/>
      <x:c r="I23" s="1"/>
      <x:c r="J23" s="1"/>
      <x:c r="K23" s="1"/>
      <x:c r="L23" s="1"/>
      <x:c r="M23" s="1"/>
      <x:c r="N23" s="1"/>
      <x:c r="O23" s="1"/>
      <x:c r="P23" s="1"/>
    </x:row>
    <x:row r="24" ht="23" customHeight="1">
      <x:c r="A24" s="1"/>
      <x:c r="B24" s="1"/>
      <x:c r="C24" s="1"/>
      <x:c r="D24" s="1"/>
      <x:c r="E24" s="1"/>
      <x:c r="F24" s="1"/>
      <x:c r="G24" s="1"/>
      <x:c r="H24" s="1"/>
      <x:c r="I24" s="1"/>
      <x:c r="J24" s="1"/>
      <x:c r="K24" s="1"/>
      <x:c r="L24" s="1"/>
      <x:c r="M24" s="1"/>
      <x:c r="N24" s="1"/>
      <x:c r="O24" s="1"/>
      <x:c r="P24" s="1"/>
    </x:row>
    <x:row r="25" ht="23" customHeight="1">
      <x:c r="A25" s="1"/>
      <x:c r="B25" s="1"/>
      <x:c r="C25" s="1"/>
      <x:c r="D25" s="1"/>
      <x:c r="E25" s="1"/>
      <x:c r="F25" s="1"/>
      <x:c r="G25" s="1"/>
      <x:c r="H25" s="1"/>
      <x:c r="I25" s="1"/>
      <x:c r="J25" s="1"/>
      <x:c r="K25" s="1"/>
      <x:c r="L25" s="1"/>
      <x:c r="M25" s="1"/>
      <x:c r="N25" s="1"/>
      <x:c r="O25" s="1"/>
      <x:c r="P25" s="1"/>
    </x:row>
    <x:row r="26" ht="23" customHeight="1">
      <x:c r="A26" s="1"/>
      <x:c r="B26" s="1"/>
      <x:c r="C26" s="1"/>
      <x:c r="D26" s="1"/>
      <x:c r="E26" s="1"/>
      <x:c r="F26" s="1"/>
      <x:c r="G26" s="1"/>
      <x:c r="H26" s="1"/>
      <x:c r="I26" s="1"/>
      <x:c r="J26" s="1"/>
      <x:c r="K26" s="1"/>
      <x:c r="L26" s="1"/>
      <x:c r="M26" s="1"/>
      <x:c r="N26" s="1"/>
      <x:c r="O26" s="1"/>
      <x:c r="P26" s="1"/>
    </x:row>
    <x:row r="27" ht="23" customHeight="1">
      <x:c r="A27" s="1"/>
      <x:c r="B27" s="1"/>
      <x:c r="C27" s="1"/>
      <x:c r="D27" s="1"/>
      <x:c r="E27" s="1"/>
      <x:c r="F27" s="1"/>
      <x:c r="G27" s="1"/>
      <x:c r="H27" s="1"/>
      <x:c r="I27" s="1"/>
      <x:c r="J27" s="1"/>
      <x:c r="K27" s="1"/>
      <x:c r="L27" s="1"/>
      <x:c r="M27" s="1"/>
      <x:c r="N27" s="1"/>
      <x:c r="O27" s="1"/>
      <x:c r="P27" s="1"/>
    </x:row>
    <x:row r="28" ht="23" customHeight="1">
      <x:c r="A28" s="1"/>
      <x:c r="B28" s="1"/>
      <x:c r="C28" s="1"/>
      <x:c r="D28" s="1"/>
      <x:c r="E28" s="1"/>
      <x:c r="F28" s="1"/>
      <x:c r="G28" s="1"/>
      <x:c r="H28" s="1"/>
      <x:c r="I28" s="1"/>
      <x:c r="J28" s="1"/>
      <x:c r="K28" s="1"/>
      <x:c r="L28" s="1"/>
      <x:c r="M28" s="1"/>
      <x:c r="N28" s="1"/>
      <x:c r="O28" s="1"/>
      <x:c r="P28" s="1"/>
    </x:row>
    <x:row r="29" ht="23" customHeight="1">
      <x:c r="A29" s="1"/>
      <x:c r="B29" s="1"/>
      <x:c r="C29" s="1"/>
      <x:c r="D29" s="1"/>
      <x:c r="E29" s="1"/>
      <x:c r="F29" s="1"/>
      <x:c r="G29" s="1"/>
      <x:c r="H29" s="1"/>
      <x:c r="I29" s="1"/>
      <x:c r="J29" s="1"/>
      <x:c r="K29" s="1"/>
      <x:c r="L29" s="1"/>
      <x:c r="M29" s="1"/>
      <x:c r="N29" s="1"/>
      <x:c r="O29" s="1"/>
      <x:c r="P29" s="1"/>
    </x:row>
    <x:row r="30" ht="23" customHeight="1">
      <x:c r="A30" s="1"/>
      <x:c r="B30" s="1"/>
      <x:c r="C30" s="1"/>
      <x:c r="D30" s="1"/>
      <x:c r="E30" s="1"/>
      <x:c r="F30" s="1"/>
      <x:c r="G30" s="1"/>
      <x:c r="H30" s="1"/>
      <x:c r="I30" s="1"/>
      <x:c r="J30" s="1"/>
      <x:c r="K30" s="1"/>
      <x:c r="L30" s="1"/>
      <x:c r="M30" s="1"/>
      <x:c r="N30" s="1"/>
      <x:c r="O30" s="1"/>
      <x:c r="P30" s="1"/>
    </x:row>
    <x:row r="31" ht="23" customHeight="1">
      <x:c r="A31" s="1"/>
      <x:c r="B31" s="1"/>
      <x:c r="C31" s="1"/>
      <x:c r="D31" s="1"/>
      <x:c r="E31" s="1"/>
      <x:c r="F31" s="1"/>
      <x:c r="G31" s="1"/>
      <x:c r="H31" s="1"/>
      <x:c r="I31" s="1"/>
      <x:c r="J31" s="1"/>
      <x:c r="K31" s="1"/>
      <x:c r="L31" s="1"/>
      <x:c r="M31" s="1"/>
      <x:c r="N31" s="1"/>
      <x:c r="O31" s="1"/>
      <x:c r="P31" s="1"/>
    </x:row>
    <x:row r="32" ht="23" customHeight="1">
      <x:c r="A32" s="1"/>
      <x:c r="B32" s="1"/>
      <x:c r="C32" s="1"/>
      <x:c r="D32" s="1"/>
      <x:c r="E32" s="1"/>
      <x:c r="F32" s="1"/>
      <x:c r="G32" s="1"/>
      <x:c r="H32" s="1"/>
      <x:c r="I32" s="1"/>
      <x:c r="J32" s="1"/>
      <x:c r="K32" s="1"/>
      <x:c r="L32" s="1"/>
      <x:c r="M32" s="1"/>
      <x:c r="N32" s="1"/>
      <x:c r="O32" s="1"/>
      <x:c r="P32" s="1"/>
    </x:row>
    <x:row r="33" ht="23" customHeight="1">
      <x:c r="A33" s="1"/>
      <x:c r="B33" s="1"/>
      <x:c r="C33" s="1"/>
      <x:c r="D33" s="1"/>
      <x:c r="E33" s="1"/>
      <x:c r="F33" s="1"/>
      <x:c r="G33" s="1"/>
      <x:c r="H33" s="1"/>
      <x:c r="I33" s="1"/>
      <x:c r="J33" s="1"/>
      <x:c r="K33" s="1"/>
      <x:c r="L33" s="1"/>
      <x:c r="M33" s="1"/>
      <x:c r="N33" s="1"/>
      <x:c r="O33" s="1"/>
      <x:c r="P33" s="1"/>
    </x:row>
    <x:row r="34" ht="23" customHeight="1">
      <x:c r="A34" s="1"/>
      <x:c r="B34" s="1"/>
      <x:c r="C34" s="1"/>
      <x:c r="D34" s="1"/>
      <x:c r="E34" s="1"/>
      <x:c r="F34" s="1"/>
      <x:c r="G34" s="1"/>
      <x:c r="H34" s="1"/>
      <x:c r="I34" s="1"/>
      <x:c r="J34" s="1"/>
      <x:c r="K34" s="1"/>
      <x:c r="L34" s="1"/>
      <x:c r="M34" s="1"/>
      <x:c r="N34" s="1"/>
      <x:c r="O34" s="1"/>
      <x:c r="P34" s="1"/>
    </x:row>
    <x:row r="35" ht="23" customHeight="1">
      <x:c r="A35" s="1"/>
      <x:c r="B35" s="1"/>
      <x:c r="C35" s="1"/>
      <x:c r="D35" s="1"/>
      <x:c r="E35" s="1"/>
      <x:c r="F35" s="1"/>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x:c r="C39" s="1"/>
      <x:c r="D39" s="1"/>
      <x:c r="E39" s="1"/>
      <x:c r="F39" s="1"/>
      <x:c r="G39" s="1"/>
      <x:c r="H39" s="1"/>
      <x:c r="I39" s="1"/>
      <x:c r="J39" s="1"/>
      <x:c r="K39" s="1"/>
      <x:c r="L39" s="1"/>
      <x:c r="M39" s="1"/>
      <x:c r="N39" s="1"/>
      <x:c r="O39" s="1"/>
      <x:c r="P39" s="1"/>
    </x:row>
    <x:row r="40" ht="23" customHeight="1">
      <x:c r="A40" s="1"/>
      <x:c r="B40" s="1"/>
      <x:c r="C40" s="1"/>
      <x:c r="D40" s="1"/>
      <x:c r="E40" s="1"/>
      <x:c r="F40" s="1"/>
      <x:c r="G40" s="1"/>
      <x:c r="H40" s="1"/>
      <x:c r="I40" s="1"/>
      <x:c r="J40" s="1"/>
      <x:c r="K40" s="1"/>
      <x:c r="L40" s="1"/>
      <x:c r="M40" s="1"/>
      <x:c r="N40" s="1"/>
      <x:c r="O40" s="1"/>
      <x:c r="P40" s="1"/>
    </x:row>
    <x:row r="41" ht="23" customHeight="1">
      <x:c r="A41" s="1"/>
      <x:c r="B41" s="1"/>
      <x:c r="C41" s="1"/>
      <x:c r="D41" s="1"/>
      <x:c r="E41" s="1"/>
      <x:c r="F41" s="1"/>
      <x:c r="G41" s="1"/>
      <x:c r="H41" s="1"/>
      <x:c r="I41" s="1"/>
      <x:c r="J41" s="1"/>
      <x:c r="K41" s="1"/>
      <x:c r="L41" s="1"/>
      <x:c r="M41" s="1"/>
      <x:c r="N41" s="1"/>
      <x:c r="O41" s="1"/>
      <x:c r="P41" s="1"/>
    </x:row>
    <x:row r="42" ht="23" customHeight="1">
      <x:c r="A42" s="1"/>
      <x:c r="B42" s="1"/>
      <x:c r="C42" s="1"/>
      <x:c r="D42" s="1"/>
      <x:c r="E42" s="1"/>
      <x:c r="F42" s="1"/>
      <x:c r="G42" s="1"/>
      <x:c r="H42" s="1"/>
      <x:c r="I42" s="1"/>
      <x:c r="J42" s="1"/>
      <x:c r="K42" s="1"/>
      <x:c r="L42" s="1"/>
      <x:c r="M42" s="1"/>
      <x:c r="N42" s="1"/>
      <x:c r="O42" s="1"/>
      <x:c r="P42" s="1"/>
    </x:row>
    <x:row r="43" ht="23" customHeight="1">
      <x:c r="A43" s="1"/>
      <x:c r="B43" s="1"/>
      <x:c r="C43" s="1"/>
      <x:c r="D43" s="1"/>
      <x:c r="E43" s="1"/>
      <x:c r="F43" s="1"/>
      <x:c r="G43" s="1"/>
      <x:c r="H43" s="1"/>
      <x:c r="I43" s="1"/>
      <x:c r="J43" s="1"/>
      <x:c r="K43" s="1"/>
      <x:c r="L43" s="1"/>
      <x:c r="M43" s="1"/>
      <x:c r="N43" s="1"/>
      <x:c r="O43" s="1"/>
      <x:c r="P43" s="1"/>
    </x:row>
    <x:row r="44" ht="23" customHeight="1">
      <x:c r="A44" s="1"/>
      <x:c r="B44" s="1"/>
      <x:c r="C44" s="1"/>
      <x:c r="D44" s="1"/>
      <x:c r="E44" s="1"/>
      <x:c r="F44" s="1"/>
      <x:c r="G44" s="1"/>
      <x:c r="H44" s="1"/>
      <x:c r="I44" s="1"/>
      <x:c r="J44" s="1"/>
      <x:c r="K44" s="1"/>
      <x:c r="L44" s="1"/>
      <x:c r="M44" s="1"/>
      <x:c r="N44" s="1"/>
      <x:c r="O44" s="1"/>
      <x:c r="P44" s="1"/>
    </x:row>
    <x:row r="45" ht="23" customHeight="1">
      <x:c r="A45" s="1"/>
      <x:c r="B45" s="1"/>
      <x:c r="C45" s="1"/>
      <x:c r="D45" s="1"/>
      <x:c r="E45" s="1"/>
      <x:c r="F45" s="1"/>
      <x:c r="G45" s="1"/>
      <x:c r="H45" s="1"/>
      <x:c r="I45" s="1"/>
      <x:c r="J45" s="1"/>
      <x:c r="K45" s="1"/>
      <x:c r="L45" s="1"/>
      <x:c r="M45" s="1"/>
      <x:c r="N45" s="1"/>
      <x:c r="O45" s="1"/>
      <x:c r="P45" s="1"/>
    </x:row>
    <x:row r="46" ht="23" customHeight="1">
      <x:c r="A46" s="1"/>
      <x:c r="B46" s="1"/>
      <x:c r="C46" s="1"/>
      <x:c r="D46" s="1"/>
      <x:c r="E46" s="1"/>
      <x:c r="F46" s="1"/>
      <x:c r="G46" s="1"/>
      <x:c r="H46" s="1"/>
      <x:c r="I46" s="1"/>
      <x:c r="J46" s="1"/>
      <x:c r="K46" s="1"/>
      <x:c r="L46" s="1"/>
      <x:c r="M46" s="1"/>
      <x:c r="N46" s="1"/>
      <x:c r="O46" s="1"/>
      <x:c r="P46" s="1"/>
    </x:row>
    <x:row r="47" ht="23" customHeight="1">
      <x:c r="A47" s="1"/>
      <x:c r="B47" s="1"/>
      <x:c r="C47" s="1"/>
      <x:c r="D47" s="1"/>
      <x:c r="E47" s="1"/>
      <x:c r="F47" s="1"/>
      <x:c r="G47" s="1"/>
      <x:c r="H47" s="1"/>
      <x:c r="I47" s="1"/>
      <x:c r="J47" s="1"/>
      <x:c r="K47" s="1"/>
      <x:c r="L47" s="1"/>
      <x:c r="M47" s="1"/>
      <x:c r="N47" s="1"/>
      <x:c r="O47" s="1"/>
      <x:c r="P47" s="1"/>
    </x:row>
    <x:row r="48" ht="23" customHeight="1">
      <x:c r="A48" s="1"/>
      <x:c r="B48" s="1"/>
      <x:c r="C48" s="1"/>
      <x:c r="D48" s="1"/>
      <x:c r="E48" s="1"/>
      <x:c r="F48" s="1"/>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97304e62d2de4d37"/>
</x:worksheet>
</file>

<file path=xl/worksheets/sheet7.xml><?xml version="1.0" encoding="utf-8"?>
<x:worksheet xmlns:x="http://schemas.openxmlformats.org/spreadsheetml/2006/main">
  <x:sheetViews>
    <x:sheetView showGridLines="0" workbookViewId="0"/>
  </x:sheetViews>
  <x:sheetFormatPr defaultRowHeight="15"/>
  <x:cols>
    <x:col min="1" max="1" width="3" hidden="0" customWidth="1"/>
    <x:col min="2" max="2" width="55" hidden="0" customWidth="1"/>
    <x:col min="3" max="3" width="15" hidden="0" customWidth="1"/>
    <x:col min="4" max="4" width="15" hidden="0" customWidth="1"/>
    <x:col min="5" max="5" width="30" hidden="0" customWidth="1"/>
    <x:col min="6" max="6" width="15" hidden="0" customWidth="1"/>
    <x:col min="7" max="7" width="15" hidden="0" customWidth="1"/>
    <x:col min="8" max="8" width="90" hidden="0" customWidth="1"/>
    <x:col min="9" max="9" width="100"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Precos das fontes</x:v>
      </x:c>
      <x:c r="C2" s="32"/>
      <x:c r="D2" s="32"/>
      <x:c r="E2" s="32"/>
      <x:c r="F2" s="32"/>
      <x:c r="G2" s="32"/>
      <x:c r="H2" s="32"/>
      <x:c r="I2" s="1"/>
      <x:c r="J2" s="1"/>
      <x:c r="K2" s="1"/>
      <x:c r="L2" s="1"/>
      <x:c r="M2" s="1"/>
      <x:c r="N2" s="1"/>
      <x:c r="O2" s="1"/>
      <x:c r="P2" s="1"/>
    </x:row>
    <x:row r="3" ht="26" customHeight="1">
      <x:c r="A3" s="1"/>
      <x:c r="B3" s="34" t="str">
        <x:v>Gislaine Araujo Silva | 02/11/2026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ID / serviço</x:v>
      </x:c>
      <x:c r="C6" s="8" t="str">
        <x:v>Moeda original</x:v>
      </x:c>
      <x:c r="D6" s="8" t="str">
        <x:v>Preço original</x:v>
      </x:c>
      <x:c r="E6" s="8" t="str">
        <x:v>Unidade</x:v>
      </x:c>
      <x:c r="F6" s="8" t="str">
        <x:v>Moeda por1USD</x:v>
      </x:c>
      <x:c r="G6" s="8" t="str">
        <x:v>Equivalente USD</x:v>
      </x:c>
      <x:c r="H6" s="8" t="str">
        <x:v>Uso / limites</x:v>
      </x:c>
      <x:c r="I6" s="8" t="str">
        <x:v>Fonte original</x:v>
      </x:c>
      <x:c r="J6" s="1"/>
      <x:c r="K6" s="1"/>
      <x:c r="L6" s="1"/>
      <x:c r="M6" s="1"/>
      <x:c r="N6" s="1"/>
      <x:c r="O6" s="1"/>
      <x:c r="P6" s="1"/>
    </x:row>
    <x:row r="7" ht="64" customHeight="1">
      <x:c r="A7" s="1"/>
      <x:c r="B7" s="10" t="str">
        <x:v>INF01 preparação e compactação da base</x:v>
      </x:c>
      <x:c r="C7" s="10" t="str">
        <x:v>PYG</x:v>
      </x:c>
      <x:c r="D7" s="17" t="n">
        <x:v>30000</x:v>
      </x:c>
      <x:c r="E7" s="17" t="str">
        <x:v>m2</x:v>
      </x:c>
      <x:c r="F7" s="17" t="n">
        <x:f>Premissas!C10</x:f>
        <x:v>5944.76</x:v>
      </x:c>
      <x:c r="G7" s="17" t="n">
        <x:f>D7/F7</x:f>
        <x:v>5.0464610850564195</x:v>
      </x:c>
      <x:c r="H7" s="10" t="str">
        <x:v>componentes de outra obra; não inclui automaticamente terraplenagem geral, passeios e drenagem profunda; componente de outra obra; não valida pacote integral. Data-base e BDI de contratação não comprovados.</x:v>
      </x:c>
      <x:c r="I7" s="10" t="str">
        <x:v>https://www.contrataciones.gov.py/licitaciones/convocatoria/1f163291-3337-6164-90b4-a558eadce0f5/items-solicitados/lotes/iRzP1Dhet%252BsDFlzFRQolEmVniL%252FsSR1ROrVUcsNKsm77HgsuBMoUSw%253D%253D.html?page=2</x:v>
      </x:c>
      <x:c r="J7" s="1"/>
      <x:c r="K7" s="1"/>
      <x:c r="L7" s="1"/>
      <x:c r="M7" s="1"/>
      <x:c r="N7" s="1"/>
      <x:c r="O7" s="1"/>
      <x:c r="P7" s="1"/>
    </x:row>
    <x:row r="8" ht="64" customHeight="1">
      <x:c r="A8" s="1"/>
      <x:c r="B8" s="10" t="str">
        <x:v>INF01 paver 8cm instalado</x:v>
      </x:c>
      <x:c r="C8" s="10" t="str">
        <x:v>PYG</x:v>
      </x:c>
      <x:c r="D8" s="17" t="n">
        <x:v>156833</x:v>
      </x:c>
      <x:c r="E8" s="17" t="str">
        <x:v>m2</x:v>
      </x:c>
      <x:c r="F8" s="17" t="n">
        <x:f>Premissas!C10</x:f>
        <x:v>5944.76</x:v>
      </x:c>
      <x:c r="G8" s="17" t="n">
        <x:f>D8/F8</x:f>
        <x:v>26.381721045088447</x:v>
      </x:c>
      <x:c r="H8" s="10" t="str">
        <x:v>componentes de outra obra; não inclui automaticamente terraplenagem geral, passeios e drenagem profunda; componente de outra obra; não valida pacote integral. Data-base e BDI de contratação não comprovados.</x:v>
      </x:c>
      <x:c r="I8" s="10" t="str">
        <x:v>https://www.contrataciones.gov.py/licitaciones/convocatoria/1f163291-3337-6164-90b4-a558eadce0f5/items-solicitados/lotes/iRzP1Dhet%252BsDFlzFRQolEmVniL%252FsSR1ROrVUcsNKsm77HgsuBMoUSw%253D%253D.html?page=2</x:v>
      </x:c>
      <x:c r="J8" s="1"/>
      <x:c r="K8" s="1"/>
      <x:c r="L8" s="1"/>
      <x:c r="M8" s="1"/>
      <x:c r="N8" s="1"/>
      <x:c r="O8" s="1"/>
      <x:c r="P8" s="1"/>
    </x:row>
    <x:row r="9" ht="64" customHeight="1">
      <x:c r="A9" s="1"/>
      <x:c r="B9" s="10" t="str">
        <x:v>INF01 meio-fio pré-fabricado</x:v>
      </x:c>
      <x:c r="C9" s="10" t="str">
        <x:v>PYG</x:v>
      </x:c>
      <x:c r="D9" s="17" t="n">
        <x:v>87333</x:v>
      </x:c>
      <x:c r="E9" s="17" t="str">
        <x:v>m</x:v>
      </x:c>
      <x:c r="F9" s="17" t="n">
        <x:f>Premissas!C10</x:f>
        <x:v>5944.76</x:v>
      </x:c>
      <x:c r="G9" s="17" t="n">
        <x:f>D9/F9</x:f>
        <x:v>14.690752864707742</x:v>
      </x:c>
      <x:c r="H9" s="10" t="str">
        <x:v>componentes de outra obra; não inclui automaticamente terraplenagem geral, passeios e drenagem profunda; componente de outra obra; não valida pacote integral. Data-base e BDI de contratação não comprovados.</x:v>
      </x:c>
      <x:c r="I9" s="10" t="str">
        <x:v>https://www.contrataciones.gov.py/licitaciones/convocatoria/1f163291-3337-6164-90b4-a558eadce0f5/items-solicitados/lotes/iRzP1Dhet%252BsDFlzFRQolEmVniL%252FsSR1ROrVUcsNKsm77HgsuBMoUSw%253D%253D.html?page=2</x:v>
      </x:c>
      <x:c r="J9" s="1"/>
      <x:c r="K9" s="1"/>
      <x:c r="L9" s="1"/>
      <x:c r="M9" s="1"/>
      <x:c r="N9" s="1"/>
      <x:c r="O9" s="1"/>
      <x:c r="P9" s="1"/>
    </x:row>
    <x:row r="10" ht="64" customHeight="1">
      <x:c r="A10" s="1"/>
      <x:c r="B10" s="10" t="str">
        <x:v>INF01 cuneta periférica</x:v>
      </x:c>
      <x:c r="C10" s="10" t="str">
        <x:v>PYG</x:v>
      </x:c>
      <x:c r="D10" s="17" t="n">
        <x:v>97000</x:v>
      </x:c>
      <x:c r="E10" s="17" t="str">
        <x:v>m</x:v>
      </x:c>
      <x:c r="F10" s="17" t="n">
        <x:f>Premissas!C10</x:f>
        <x:v>5944.76</x:v>
      </x:c>
      <x:c r="G10" s="17" t="n">
        <x:f>D10/F10</x:f>
        <x:v>16.316890841682422</x:v>
      </x:c>
      <x:c r="H10" s="10" t="str">
        <x:v>componentes de outra obra; não inclui automaticamente terraplenagem geral, passeios e drenagem profunda; componente de outra obra; não valida pacote integral. Data-base e BDI de contratação não comprovados.</x:v>
      </x:c>
      <x:c r="I10" s="10" t="str">
        <x:v>https://www.contrataciones.gov.py/licitaciones/convocatoria/1f163291-3337-6164-90b4-a558eadce0f5/items-solicitados/lotes/iRzP1Dhet%252BsDFlzFRQolEmVniL%252FsSR1ROrVUcsNKsm77HgsuBMoUSw%253D%253D.html?page=2</x:v>
      </x:c>
      <x:c r="J10" s="1"/>
      <x:c r="K10" s="1"/>
      <x:c r="L10" s="1"/>
      <x:c r="M10" s="1"/>
      <x:c r="N10" s="1"/>
      <x:c r="O10" s="1"/>
      <x:c r="P10" s="1"/>
    </x:row>
    <x:row r="11" ht="64" customHeight="1">
      <x:c r="A11" s="1"/>
      <x:c r="B11" s="10" t="str">
        <x:v>INF02 vala até 1,25m em terra desagregada, carga; sem transporte</x:v>
      </x:c>
      <x:c r="C11" s="10" t="str">
        <x:v>PYG</x:v>
      </x:c>
      <x:c r="D11" s="17" t="n">
        <x:v>47464</x:v>
      </x:c>
      <x:c r="E11" s="17" t="str">
        <x:v>m3</x:v>
      </x:c>
      <x:c r="F11" s="17" t="n">
        <x:f>Premissas!C10</x:f>
        <x:v>5944.76</x:v>
      </x:c>
      <x:c r="G11" s="17" t="n">
        <x:f>D11/F11</x:f>
        <x:v>7.984174298037263</x:v>
      </x:c>
      <x:c r="H11" s="10" t="str">
        <x:v>vala até 1,25m em terra desagregada, carga; sem transporte; componente de outra obra; não valida pacote integral. Data-base e BDI de contratação não comprovados.</x:v>
      </x:c>
      <x:c r="I11" s="10" t="str">
        <x:v>https://paraguay.generadordeprecios.info/espacios_urbanos/Preparacion_del_terreno/AC_Movimiento_de_tierras_en_obra_/Excavaciones/ACE040_Excavacion_de_zanjas__con_medios_me_0_0_3_0_0_0.html</x:v>
      </x:c>
      <x:c r="J11" s="1"/>
      <x:c r="K11" s="1"/>
      <x:c r="L11" s="1"/>
      <x:c r="M11" s="1"/>
      <x:c r="N11" s="1"/>
      <x:c r="O11" s="1"/>
      <x:c r="P11" s="1"/>
    </x:row>
    <x:row r="12" ht="64" customHeight="1">
      <x:c r="A12" s="1"/>
      <x:c r="B12" s="10" t="str">
        <x:v>INF03 reaterro solo próprio a 90% Proctor; não preço para qualquer compactação ou solo comprado</x:v>
      </x:c>
      <x:c r="C12" s="10" t="str">
        <x:v>PYG</x:v>
      </x:c>
      <x:c r="D12" s="17" t="n">
        <x:v>35670</x:v>
      </x:c>
      <x:c r="E12" s="17" t="str">
        <x:v>m3</x:v>
      </x:c>
      <x:c r="F12" s="17" t="n">
        <x:f>Premissas!C10</x:f>
        <x:v>5944.76</x:v>
      </x:c>
      <x:c r="G12" s="17" t="n">
        <x:f>D12/F12</x:f>
        <x:v>6.000242230132082</x:v>
      </x:c>
      <x:c r="H12" s="10" t="str">
        <x:v>reaterro solo próprio a 90% Proctor; não preço para qualquer compactação ou solo comprado; componente de outra obra; não valida pacote integral. Data-base e BDI de contratação não comprovados.</x:v>
      </x:c>
      <x:c r="I12" s="10" t="str">
        <x:v>https://paraguay.generadordeprecios.info/espacios_urbanos/Preparacion_del_terreno/AC_Movimiento_de_tierras_en_obra_/ACR_Extendidos__rellenos_y_compact/Relleno_de_zanjas.html</x:v>
      </x:c>
      <x:c r="J12" s="1"/>
      <x:c r="K12" s="1"/>
      <x:c r="L12" s="1"/>
      <x:c r="M12" s="1"/>
      <x:c r="N12" s="1"/>
      <x:c r="O12" s="1"/>
      <x:c r="P12" s="1"/>
    </x:row>
    <x:row r="13" ht="64" customHeight="1">
      <x:c r="A13" s="1"/>
      <x:c r="B13" s="10" t="str">
        <x:v>INF04 coletor concreto DN300, berço e assentamento; exclui vala/reaterro principal e estações; especificação requer projeto</x:v>
      </x:c>
      <x:c r="C13" s="10" t="str">
        <x:v>PYG</x:v>
      </x:c>
      <x:c r="D13" s="17" t="n">
        <x:v>261817</x:v>
      </x:c>
      <x:c r="E13" s="17" t="str">
        <x:v>m</x:v>
      </x:c>
      <x:c r="F13" s="17" t="n">
        <x:f>Premissas!C10</x:f>
        <x:v>5944.76</x:v>
      </x:c>
      <x:c r="G13" s="17" t="n">
        <x:f>D13/F13</x:f>
        <x:v>44.04164339687389</x:v>
      </x:c>
      <x:c r="H13" s="10" t="str">
        <x:v>coletor concreto DN300, berço e assentamento; exclui vala/reaterro principal e estações; especificação requer projeto; componente de outra obra; não valida pacote integral. Data-base e BDI de contratação não comprovados.</x:v>
      </x:c>
      <x:c r="I13" s="10" t="str">
        <x:v>https://paraguay.generadordeprecios.info/espacios_urbanos/Instalaciones/Urbanas/Redes_de_saneamiento/Colector_enterrado_de_hormigon_masivo.html</x:v>
      </x:c>
      <x:c r="J13" s="1"/>
      <x:c r="K13" s="1"/>
      <x:c r="L13" s="1"/>
      <x:c r="M13" s="1"/>
      <x:c r="N13" s="1"/>
      <x:c r="O13" s="1"/>
      <x:c r="P13" s="1"/>
    </x:row>
    <x:row r="14" ht="64" customHeight="1">
      <x:c r="A14" s="1"/>
      <x:c r="B14" s="10" t="str">
        <x:v>INF05 BT alumínio 4x50mm2 enterramento direto; sem vala/reaterro principal, MT e transformadores; não somar duto do mesmo trecho</x:v>
      </x:c>
      <x:c r="C14" s="10" t="str">
        <x:v>PYG</x:v>
      </x:c>
      <x:c r="D14" s="17" t="n">
        <x:v>161995</x:v>
      </x:c>
      <x:c r="E14" s="17" t="str">
        <x:v>m</x:v>
      </x:c>
      <x:c r="F14" s="17" t="n">
        <x:f>Premissas!C10</x:f>
        <x:v>5944.76</x:v>
      </x:c>
      <x:c r="G14" s="17" t="n">
        <x:f>D14/F14</x:f>
        <x:v>27.250048782457153</x:v>
      </x:c>
      <x:c r="H14" s="10" t="str">
        <x:v>BT alumínio 4x50mm2 enterramento direto; sem vala/reaterro principal, MT e transformadores; não somar duto do mesmo trecho; componente de outra obra; não valida pacote integral. Data-base e BDI de contratação não comprovados.</x:v>
      </x:c>
      <x:c r="I14" s="10" t="str">
        <x:v>https://paraguay.generadordeprecios.info/espacios_urbanos/Instalaciones/Urbanas/IUB_Lineas_subterraneas_de_baja_te/IUB020_Linea_subterranea_de_distribucion_d.html</x:v>
      </x:c>
      <x:c r="J14" s="1"/>
      <x:c r="K14" s="1"/>
      <x:c r="L14" s="1"/>
      <x:c r="M14" s="1"/>
      <x:c r="N14" s="1"/>
      <x:c r="O14" s="1"/>
      <x:c r="P14" s="1"/>
    </x:row>
    <x:row r="15" ht="64" customHeight="1">
      <x:c r="A15" s="1"/>
      <x:c r="B15" s="10" t="str">
        <x:v>INF06 escavação aberta terra branda até 4m e carga; sem transporte, solo importado ou estabilização</x:v>
      </x:c>
      <x:c r="C15" s="10" t="str">
        <x:v>PYG</x:v>
      </x:c>
      <x:c r="D15" s="17" t="n">
        <x:v>13051</x:v>
      </x:c>
      <x:c r="E15" s="17" t="str">
        <x:v>m3</x:v>
      </x:c>
      <x:c r="F15" s="17" t="n">
        <x:f>Premissas!C10</x:f>
        <x:v>5944.76</x:v>
      </x:c>
      <x:c r="G15" s="17" t="n">
        <x:f>D15/F15</x:f>
        <x:v>2.1953787873690445</x:v>
      </x:c>
      <x:c r="H15" s="10" t="str">
        <x:v>escavação aberta terra branda até 4m e carga; sem transporte, solo importado ou estabilização; componente de outra obra; não valida pacote integral. Data-base e BDI de contratação não comprovados.</x:v>
      </x:c>
      <x:c r="I15" s="10" t="str">
        <x:v>https://paraguay.generadordeprecios.info/espacios_urbanos/Preparacion_del_terreno/AC_Movimiento_de_tierras_en_obra_/Excavaciones/ACE015_Excavacion_de_tierras_a_cielo_abier.html</x:v>
      </x:c>
      <x:c r="J15" s="1"/>
      <x:c r="K15" s="1"/>
      <x:c r="L15" s="1"/>
      <x:c r="M15" s="1"/>
      <x:c r="N15" s="1"/>
      <x:c r="O15" s="1"/>
      <x:c r="P15" s="1"/>
    </x:row>
    <x:row r="16" ht="64" customHeight="1">
      <x:c r="A16" s="1"/>
      <x:c r="B16" s="10" t="str">
        <x:v>L01 cobertura acanalada</x:v>
      </x:c>
      <x:c r="C16" s="10" t="str">
        <x:v>PYG</x:v>
      </x:c>
      <x:c r="D16" s="17" t="n">
        <x:v>160000</x:v>
      </x:c>
      <x:c r="E16" s="17" t="str">
        <x:v>m2 cobertura</x:v>
      </x:c>
      <x:c r="F16" s="17" t="n">
        <x:f>Premissas!C10</x:f>
        <x:v>5944.76</x:v>
      </x:c>
      <x:c r="G16" s="17" t="n">
        <x:f>D16/F16</x:f>
        <x:v>26.914459120300904</x:v>
      </x:c>
      <x:c r="H16" s="10" t="str">
        <x:v>somente componente de quiosque, não valida pacote; não valida integralmente pacote do empreendimento</x:v>
      </x:c>
      <x:c r="I16" s="10" t="str">
        <x:v>https://www.tecnimetal.com.py/techos.html</x:v>
      </x:c>
      <x:c r="J16" s="1"/>
      <x:c r="K16" s="1"/>
      <x:c r="L16" s="1"/>
      <x:c r="M16" s="1"/>
      <x:c r="N16" s="1"/>
      <x:c r="O16" s="1"/>
      <x:c r="P16" s="1"/>
    </x:row>
    <x:row r="17" ht="64" customHeight="1">
      <x:c r="A17" s="1"/>
      <x:c r="B17" s="10" t="str">
        <x:v>L01 cobertura EPS30mm</x:v>
      </x:c>
      <x:c r="C17" s="10" t="str">
        <x:v>PYG</x:v>
      </x:c>
      <x:c r="D17" s="17" t="n">
        <x:v>255000</x:v>
      </x:c>
      <x:c r="E17" s="17" t="str">
        <x:v>m2 cobertura</x:v>
      </x:c>
      <x:c r="F17" s="17" t="n">
        <x:f>Premissas!C10</x:f>
        <x:v>5944.76</x:v>
      </x:c>
      <x:c r="G17" s="17" t="n">
        <x:f>D17/F17</x:f>
        <x:v>42.89491922297957</x:v>
      </x:c>
      <x:c r="H17" s="10" t="str">
        <x:v>somente componente de quiosque, não valida pacote; não valida integralmente pacote do empreendimento</x:v>
      </x:c>
      <x:c r="I17" s="10" t="str">
        <x:v>https://www.tecnimetal.com.py/techos.html</x:v>
      </x:c>
      <x:c r="J17" s="1"/>
      <x:c r="K17" s="1"/>
      <x:c r="L17" s="1"/>
      <x:c r="M17" s="1"/>
      <x:c r="N17" s="1"/>
      <x:c r="O17" s="1"/>
      <x:c r="P17" s="1"/>
    </x:row>
    <x:row r="18" ht="64" customHeight="1">
      <x:c r="A18" s="1"/>
      <x:c r="B18" s="10" t="str">
        <x:v>L01 cobertura EPS40mm colonial</x:v>
      </x:c>
      <x:c r="C18" s="10" t="str">
        <x:v>PYG</x:v>
      </x:c>
      <x:c r="D18" s="17" t="n">
        <x:v>440000</x:v>
      </x:c>
      <x:c r="E18" s="17" t="str">
        <x:v>m2 cobertura</x:v>
      </x:c>
      <x:c r="F18" s="17" t="n">
        <x:f>Premissas!C10</x:f>
        <x:v>5944.76</x:v>
      </x:c>
      <x:c r="G18" s="17" t="n">
        <x:f>D18/F18</x:f>
        <x:v>74.01476258082748</x:v>
      </x:c>
      <x:c r="H18" s="10" t="str">
        <x:v>somente componente de quiosque, não valida pacote; não valida integralmente pacote do empreendimento</x:v>
      </x:c>
      <x:c r="I18" s="10" t="str">
        <x:v>https://www.tecnimetal.com.py/techos.html</x:v>
      </x:c>
      <x:c r="J18" s="1"/>
      <x:c r="K18" s="1"/>
      <x:c r="L18" s="1"/>
      <x:c r="M18" s="1"/>
      <x:c r="N18" s="1"/>
      <x:c r="O18" s="1"/>
      <x:c r="P18" s="1"/>
    </x:row>
    <x:row r="19" ht="64" customHeight="1">
      <x:c r="A19" s="1"/>
      <x:c r="B19" s="10" t="str">
        <x:v>L02 contentor manual 240L</x:v>
      </x:c>
      <x:c r="C19" s="10" t="str">
        <x:v>PYG</x:v>
      </x:c>
      <x:c r="D19" s="17" t="n">
        <x:v>586150</x:v>
      </x:c>
      <x:c r="E19" s="17" t="str">
        <x:v>contentor 240 L</x:v>
      </x:c>
      <x:c r="F19" s="17" t="n">
        <x:f>Premissas!C10</x:f>
        <x:v>5944.76</x:v>
      </x:c>
      <x:c r="G19" s="17" t="n">
        <x:f>D19/F19</x:f>
        <x:v>98.59943883352734</x:v>
      </x:c>
      <x:c r="H19" s="10" t="str">
        <x:v>15 contentores; não atende sensor sozinho; não valida integralmente pacote do empreendimento</x:v>
      </x:c>
      <x:c r="I19" s="10" t="str">
        <x:v>https://www.distribuidorarpm.com.py/producto/1008491/basurero-nobre-con-ruedas-de-240-lts-negro-58255</x:v>
      </x:c>
      <x:c r="J19" s="1"/>
      <x:c r="K19" s="1"/>
      <x:c r="L19" s="1"/>
      <x:c r="M19" s="1"/>
      <x:c r="N19" s="1"/>
      <x:c r="O19" s="1"/>
      <x:c r="P19" s="1"/>
    </x:row>
    <x:row r="20" ht="64" customHeight="1">
      <x:c r="A20" s="1"/>
      <x:c r="B20" s="10" t="str">
        <x:v>L03 linha própria Esencial desde</x:v>
      </x:c>
      <x:c r="C20" s="10" t="str">
        <x:v>USD</x:v>
      </x:c>
      <x:c r="D20" s="17" t="n">
        <x:v>850</x:v>
      </x:c>
      <x:c r="E20" s="17" t="str">
        <x:v>m2 residencial steel frame</x:v>
      </x:c>
      <x:c r="F20" s="17" t="n">
        <x:f>1</x:f>
        <x:v>1</x:v>
      </x:c>
      <x:c r="G20" s="17" t="n">
        <x:f>D20/F20</x:f>
        <x:v>850</x:v>
      </x:c>
      <x:c r="H20" s="10" t="str">
        <x:v>controle externo de ordem de grandeza; não preço de clube ou equipamento; não valida integralmente pacote do empreendimento</x:v>
      </x:c>
      <x:c r="I20" s="10" t="str">
        <x:v>https://canadianhouses.com.py/cuanto-cuesta-construir-casa-paraguay</x:v>
      </x:c>
      <x:c r="J20" s="1"/>
      <x:c r="K20" s="1"/>
      <x:c r="L20" s="1"/>
      <x:c r="M20" s="1"/>
      <x:c r="N20" s="1"/>
      <x:c r="O20" s="1"/>
      <x:c r="P20" s="1"/>
    </x:row>
    <x:row r="21" ht="64" customHeight="1">
      <x:c r="A21" s="1"/>
      <x:c r="B21" s="10" t="str">
        <x:v>L03 linha própria Balance desde</x:v>
      </x:c>
      <x:c r="C21" s="10" t="str">
        <x:v>USD</x:v>
      </x:c>
      <x:c r="D21" s="17" t="n">
        <x:v>950</x:v>
      </x:c>
      <x:c r="E21" s="17" t="str">
        <x:v>m2 residencial steel frame</x:v>
      </x:c>
      <x:c r="F21" s="17" t="n">
        <x:f>1</x:f>
        <x:v>1</x:v>
      </x:c>
      <x:c r="G21" s="17" t="n">
        <x:f>D21/F21</x:f>
        <x:v>950</x:v>
      </x:c>
      <x:c r="H21" s="10" t="str">
        <x:v>controle externo de ordem de grandeza; não preço de clube ou equipamento; não valida integralmente pacote do empreendimento</x:v>
      </x:c>
      <x:c r="I21" s="10" t="str">
        <x:v>https://canadianhouses.com.py/cuanto-cuesta-construir-casa-paraguay</x:v>
      </x:c>
      <x:c r="J21" s="1"/>
      <x:c r="K21" s="1"/>
      <x:c r="L21" s="1"/>
      <x:c r="M21" s="1"/>
      <x:c r="N21" s="1"/>
      <x:c r="O21" s="1"/>
      <x:c r="P21" s="1"/>
    </x:row>
    <x:row r="22" ht="64" customHeight="1">
      <x:c r="A22" s="1"/>
      <x:c r="B22" s="10" t="str">
        <x:v>L03 linha própria Signature desde</x:v>
      </x:c>
      <x:c r="C22" s="10" t="str">
        <x:v>USD</x:v>
      </x:c>
      <x:c r="D22" s="17" t="n">
        <x:v>1100</x:v>
      </x:c>
      <x:c r="E22" s="17" t="str">
        <x:v>m2 residencial steel frame</x:v>
      </x:c>
      <x:c r="F22" s="17" t="n">
        <x:f>1</x:f>
        <x:v>1</x:v>
      </x:c>
      <x:c r="G22" s="17" t="n">
        <x:f>D22/F22</x:f>
        <x:v>1100</x:v>
      </x:c>
      <x:c r="H22" s="10" t="str">
        <x:v>controle externo de ordem de grandeza; não preço de clube ou equipamento; não valida integralmente pacote do empreendimento</x:v>
      </x:c>
      <x:c r="I22" s="10" t="str">
        <x:v>https://canadianhouses.com.py/cuanto-cuesta-construir-casa-paraguay</x:v>
      </x:c>
      <x:c r="J22" s="1"/>
      <x:c r="K22" s="1"/>
      <x:c r="L22" s="1"/>
      <x:c r="M22" s="1"/>
      <x:c r="N22" s="1"/>
      <x:c r="O22" s="1"/>
      <x:c r="P22" s="1"/>
    </x:row>
    <x:row r="23" ht="64" customHeight="1">
      <x:c r="A23" s="1"/>
      <x:c r="B23" s="10" t="str">
        <x:v>L04 galpão limite inferior</x:v>
      </x:c>
      <x:c r="C23" s="10" t="str">
        <x:v>USD</x:v>
      </x:c>
      <x:c r="D23" s="17" t="n">
        <x:v>220</x:v>
      </x:c>
      <x:c r="E23" s="17" t="str">
        <x:v>m2</x:v>
      </x:c>
      <x:c r="F23" s="17" t="n">
        <x:f>1</x:f>
        <x:v>1</x:v>
      </x:c>
      <x:c r="G23" s="17" t="n">
        <x:f>D23/F23</x:f>
        <x:v>220</x:v>
      </x:c>
      <x:c r="H23" s="10" t="str">
        <x:v>apoio coberto viveiro e edifícios; não cotação técnica; não valida integralmente pacote do empreendimento</x:v>
      </x:c>
      <x:c r="I23" s="10" t="str">
        <x:v>https://vendido.com.py/anteproyecto</x:v>
      </x:c>
      <x:c r="J23" s="1"/>
      <x:c r="K23" s="1"/>
      <x:c r="L23" s="1"/>
      <x:c r="M23" s="1"/>
      <x:c r="N23" s="1"/>
      <x:c r="O23" s="1"/>
      <x:c r="P23" s="1"/>
    </x:row>
    <x:row r="24" ht="64" customHeight="1">
      <x:c r="A24" s="1"/>
      <x:c r="B24" s="10" t="str">
        <x:v>L04 galpão limite superior</x:v>
      </x:c>
      <x:c r="C24" s="10" t="str">
        <x:v>USD</x:v>
      </x:c>
      <x:c r="D24" s="17" t="n">
        <x:v>380</x:v>
      </x:c>
      <x:c r="E24" s="17" t="str">
        <x:v>m2</x:v>
      </x:c>
      <x:c r="F24" s="17" t="n">
        <x:f>1</x:f>
        <x:v>1</x:v>
      </x:c>
      <x:c r="G24" s="17" t="n">
        <x:f>D24/F24</x:f>
        <x:v>380</x:v>
      </x:c>
      <x:c r="H24" s="10" t="str">
        <x:v>apoio coberto viveiro e edifícios; não cotação técnica; não valida integralmente pacote do empreendimento</x:v>
      </x:c>
      <x:c r="I24" s="10" t="str">
        <x:v>https://vendido.com.py/anteproyecto</x:v>
      </x:c>
      <x:c r="J24" s="1"/>
      <x:c r="K24" s="1"/>
      <x:c r="L24" s="1"/>
      <x:c r="M24" s="1"/>
      <x:c r="N24" s="1"/>
      <x:c r="O24" s="1"/>
      <x:c r="P24" s="1"/>
    </x:row>
    <x:row r="25" ht="64" customHeight="1">
      <x:c r="A25" s="1"/>
      <x:c r="B25" s="10" t="str">
        <x:v>L04 comercial limite inferior</x:v>
      </x:c>
      <x:c r="C25" s="10" t="str">
        <x:v>USD</x:v>
      </x:c>
      <x:c r="D25" s="17" t="n">
        <x:v>650</x:v>
      </x:c>
      <x:c r="E25" s="17" t="str">
        <x:v>m2</x:v>
      </x:c>
      <x:c r="F25" s="17" t="n">
        <x:f>1</x:f>
        <x:v>1</x:v>
      </x:c>
      <x:c r="G25" s="17" t="n">
        <x:f>D25/F25</x:f>
        <x:v>650</x:v>
      </x:c>
      <x:c r="H25" s="10" t="str">
        <x:v>apoio coberto viveiro e edifícios; não cotação técnica; não valida integralmente pacote do empreendimento</x:v>
      </x:c>
      <x:c r="I25" s="10" t="str">
        <x:v>https://vendido.com.py/anteproyecto</x:v>
      </x:c>
      <x:c r="J25" s="1"/>
      <x:c r="K25" s="1"/>
      <x:c r="L25" s="1"/>
      <x:c r="M25" s="1"/>
      <x:c r="N25" s="1"/>
      <x:c r="O25" s="1"/>
      <x:c r="P25" s="1"/>
    </x:row>
    <x:row r="26" ht="64" customHeight="1">
      <x:c r="A26" s="1"/>
      <x:c r="B26" s="10" t="str">
        <x:v>L04 comercial limite superior</x:v>
      </x:c>
      <x:c r="C26" s="10" t="str">
        <x:v>USD</x:v>
      </x:c>
      <x:c r="D26" s="17" t="n">
        <x:v>950</x:v>
      </x:c>
      <x:c r="E26" s="17" t="str">
        <x:v>m2</x:v>
      </x:c>
      <x:c r="F26" s="17" t="n">
        <x:f>1</x:f>
        <x:v>1</x:v>
      </x:c>
      <x:c r="G26" s="17" t="n">
        <x:f>D26/F26</x:f>
        <x:v>950</x:v>
      </x:c>
      <x:c r="H26" s="10" t="str">
        <x:v>apoio coberto viveiro e edifícios; não cotação técnica; não valida integralmente pacote do empreendimento</x:v>
      </x:c>
      <x:c r="I26" s="10" t="str">
        <x:v>https://vendido.com.py/anteproyecto</x:v>
      </x:c>
      <x:c r="J26" s="1"/>
      <x:c r="K26" s="1"/>
      <x:c r="L26" s="1"/>
      <x:c r="M26" s="1"/>
      <x:c r="N26" s="1"/>
      <x:c r="O26" s="1"/>
      <x:c r="P26" s="1"/>
    </x:row>
    <x:row r="27" ht="64" customHeight="1">
      <x:c r="A27" s="1"/>
      <x:c r="B27" s="10" t="str">
        <x:v>L05 piso futebol exclusivamente</x:v>
      </x:c>
      <x:c r="C27" s="10" t="str">
        <x:v>PYG</x:v>
      </x:c>
      <x:c r="D27" s="17" t="n">
        <x:v>292205</x:v>
      </x:c>
      <x:c r="E27" s="17" t="str">
        <x:v>m2 sintético sobre base pronta</x:v>
      </x:c>
      <x:c r="F27" s="17" t="n">
        <x:f>Premissas!C10</x:f>
        <x:v>5944.76</x:v>
      </x:c>
      <x:c r="G27" s="17" t="n">
        <x:f>D27/F27</x:f>
        <x:v>49.15337204529703</x:v>
      </x:c>
      <x:c r="H27" s="10" t="str">
        <x:v>piso futebol exclusivamente; não valida integralmente pacote do empreendimento</x:v>
      </x:c>
      <x:c r="I27" s="10" t="str">
        <x:v>https://paraguay.generadordeprecios.info/obra_nueva/Urbanizacion_interior_de_la_parcela/Pistas_deportivas/Pisos_de_pasto_sintetico/Piso_deportivo_de_pasto_sintetico_0_2_1c14_0.html</x:v>
      </x:c>
      <x:c r="J27" s="1"/>
      <x:c r="K27" s="1"/>
      <x:c r="L27" s="1"/>
      <x:c r="M27" s="1"/>
      <x:c r="N27" s="1"/>
      <x:c r="O27" s="1"/>
      <x:c r="P27" s="1"/>
    </x:row>
    <x:row r="28" ht="64" customHeight="1">
      <x:c r="A28" s="1"/>
      <x:c r="B28" s="10" t="str">
        <x:v>L06 piso tênis; sem cerca/luz/rede externa</x:v>
      </x:c>
      <x:c r="C28" s="10" t="str">
        <x:v>PYG</x:v>
      </x:c>
      <x:c r="D28" s="17" t="n">
        <x:v>294043</x:v>
      </x:c>
      <x:c r="E28" s="17" t="str">
        <x:v>m2 saibro</x:v>
      </x:c>
      <x:c r="F28" s="17" t="n">
        <x:f>Premissas!C10</x:f>
        <x:v>5944.76</x:v>
      </x:c>
      <x:c r="G28" s="17" t="n">
        <x:f>D28/F28</x:f>
        <x:v>49.46255189444149</x:v>
      </x:c>
      <x:c r="H28" s="10" t="str">
        <x:v>piso tênis; sem cerca/luz/rede externa; não valida integralmente pacote do empreendimento</x:v>
      </x:c>
      <x:c r="I28" s="10" t="str">
        <x:v>https://paraguay.generadordeprecios.info/espacios_urbanos/Pisos_y_pavimentos_urbanos/Pisos_deportivos/De_tierra_batida/MDT010_Piso_deportivo_de_tierra_batida_par.html</x:v>
      </x:c>
      <x:c r="J28" s="1"/>
      <x:c r="K28" s="1"/>
      <x:c r="L28" s="1"/>
      <x:c r="M28" s="1"/>
      <x:c r="N28" s="1"/>
      <x:c r="O28" s="1"/>
      <x:c r="P28" s="1"/>
    </x:row>
    <x:row r="29" ht="64" customHeight="1">
      <x:c r="A29" s="1"/>
      <x:c r="B29" s="10" t="str">
        <x:v>L07 rejeitado para extrapolação de viveiro profissional</x:v>
      </x:c>
      <x:c r="C29" s="10" t="str">
        <x:v>PYG</x:v>
      </x:c>
      <x:c r="D29" s="17" t="n">
        <x:v>2990000</x:v>
      </x:c>
      <x:c r="E29" s="17" t="str">
        <x:v>kit domestico 12m2</x:v>
      </x:c>
      <x:c r="F29" s="17" t="n">
        <x:f>Premissas!C10</x:f>
        <x:v>5944.76</x:v>
      </x:c>
      <x:c r="G29" s="17" t="n">
        <x:f>D29/F29</x:f>
        <x:v>502.96395481062314</x:v>
      </x:c>
      <x:c r="H29" s="10" t="str">
        <x:v>rejeitado para extrapolação de viveiro profissional; não valida integralmente pacote do empreendimento</x:v>
      </x:c>
      <x:c r="I29" s="10" t="str">
        <x:v>https://mardelnorte.com.py/products/invernadero-armable-tunel-12m-4x3x2mts</x:v>
      </x:c>
      <x:c r="J29" s="1"/>
      <x:c r="K29" s="1"/>
      <x:c r="L29" s="1"/>
      <x:c r="M29" s="1"/>
      <x:c r="N29" s="1"/>
      <x:c r="O29" s="1"/>
      <x:c r="P29" s="1"/>
    </x:row>
    <x:row r="30" ht="23" customHeight="1">
      <x:c r="A30" s="1"/>
      <x:c r="B30" s="1"/>
      <x:c r="C30" s="1"/>
      <x:c r="D30" s="1"/>
      <x:c r="E30" s="1"/>
      <x:c r="F30" s="1"/>
      <x:c r="G30" s="1"/>
      <x:c r="H30" s="1"/>
      <x:c r="I30" s="1"/>
      <x:c r="J30" s="1"/>
      <x:c r="K30" s="1"/>
      <x:c r="L30" s="1"/>
      <x:c r="M30" s="1"/>
      <x:c r="N30" s="1"/>
      <x:c r="O30" s="1"/>
      <x:c r="P30" s="1"/>
    </x:row>
    <x:row r="31" ht="23" customHeight="1">
      <x:c r="A31" s="1"/>
      <x:c r="B31" s="1"/>
      <x:c r="C31" s="1"/>
      <x:c r="D31" s="1"/>
      <x:c r="E31" s="1"/>
      <x:c r="F31" s="1"/>
      <x:c r="G31" s="1"/>
      <x:c r="H31" s="1"/>
      <x:c r="I31" s="1"/>
      <x:c r="J31" s="1"/>
      <x:c r="K31" s="1"/>
      <x:c r="L31" s="1"/>
      <x:c r="M31" s="1"/>
      <x:c r="N31" s="1"/>
      <x:c r="O31" s="1"/>
      <x:c r="P31" s="1"/>
    </x:row>
    <x:row r="32" ht="23" customHeight="1">
      <x:c r="A32" s="1"/>
      <x:c r="B32" s="1" t="str">
        <x:v>USD = PYG / 5.944,76. Cotação BCP30/10/2026. Preço originalmente em USD não recebe nova conversão.</x:v>
      </x:c>
      <x:c r="C32" s="1"/>
      <x:c r="D32" s="1"/>
      <x:c r="E32" s="1"/>
      <x:c r="F32" s="1"/>
      <x:c r="G32" s="1"/>
      <x:c r="H32" s="1"/>
      <x:c r="I32" s="1"/>
      <x:c r="J32" s="1"/>
      <x:c r="K32" s="1"/>
      <x:c r="L32" s="1"/>
      <x:c r="M32" s="1"/>
      <x:c r="N32" s="1"/>
      <x:c r="O32" s="1"/>
      <x:c r="P32" s="1"/>
    </x:row>
    <x:row r="33" ht="23" customHeight="1">
      <x:c r="A33" s="1"/>
      <x:c r="B33" s="1"/>
      <x:c r="C33" s="1"/>
      <x:c r="D33" s="1"/>
      <x:c r="E33" s="1"/>
      <x:c r="F33" s="1"/>
      <x:c r="G33" s="1"/>
      <x:c r="H33" s="1"/>
      <x:c r="I33" s="1"/>
      <x:c r="J33" s="1"/>
      <x:c r="K33" s="1"/>
      <x:c r="L33" s="1"/>
      <x:c r="M33" s="1"/>
      <x:c r="N33" s="1"/>
      <x:c r="O33" s="1"/>
      <x:c r="P33" s="1"/>
    </x:row>
    <x:row r="34" ht="23" customHeight="1">
      <x:c r="A34" s="1"/>
      <x:c r="B34" s="1"/>
      <x:c r="C34" s="1"/>
      <x:c r="D34" s="1"/>
      <x:c r="E34" s="1"/>
      <x:c r="F34" s="1"/>
      <x:c r="G34" s="1"/>
      <x:c r="H34" s="1"/>
      <x:c r="I34" s="1"/>
      <x:c r="J34" s="1"/>
      <x:c r="K34" s="1"/>
      <x:c r="L34" s="1"/>
      <x:c r="M34" s="1"/>
      <x:c r="N34" s="1"/>
      <x:c r="O34" s="1"/>
      <x:c r="P34" s="1"/>
    </x:row>
    <x:row r="35" ht="23" customHeight="1">
      <x:c r="A35" s="1"/>
      <x:c r="B35" s="1"/>
      <x:c r="C35" s="1"/>
      <x:c r="D35" s="1"/>
      <x:c r="E35" s="1"/>
      <x:c r="F35" s="1"/>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x:c r="C39" s="1"/>
      <x:c r="D39" s="1"/>
      <x:c r="E39" s="1"/>
      <x:c r="F39" s="1"/>
      <x:c r="G39" s="1"/>
      <x:c r="H39" s="1"/>
      <x:c r="I39" s="1"/>
      <x:c r="J39" s="1"/>
      <x:c r="K39" s="1"/>
      <x:c r="L39" s="1"/>
      <x:c r="M39" s="1"/>
      <x:c r="N39" s="1"/>
      <x:c r="O39" s="1"/>
      <x:c r="P39" s="1"/>
    </x:row>
    <x:row r="40" ht="23" customHeight="1">
      <x:c r="A40" s="1"/>
      <x:c r="B40" s="1"/>
      <x:c r="C40" s="1"/>
      <x:c r="D40" s="1"/>
      <x:c r="E40" s="1"/>
      <x:c r="F40" s="1"/>
      <x:c r="G40" s="1"/>
      <x:c r="H40" s="1"/>
      <x:c r="I40" s="1"/>
      <x:c r="J40" s="1"/>
      <x:c r="K40" s="1"/>
      <x:c r="L40" s="1"/>
      <x:c r="M40" s="1"/>
      <x:c r="N40" s="1"/>
      <x:c r="O40" s="1"/>
      <x:c r="P40" s="1"/>
    </x:row>
    <x:row r="41" ht="23" customHeight="1">
      <x:c r="A41" s="1"/>
      <x:c r="B41" s="1"/>
      <x:c r="C41" s="1"/>
      <x:c r="D41" s="1"/>
      <x:c r="E41" s="1"/>
      <x:c r="F41" s="1"/>
      <x:c r="G41" s="1"/>
      <x:c r="H41" s="1"/>
      <x:c r="I41" s="1"/>
      <x:c r="J41" s="1"/>
      <x:c r="K41" s="1"/>
      <x:c r="L41" s="1"/>
      <x:c r="M41" s="1"/>
      <x:c r="N41" s="1"/>
      <x:c r="O41" s="1"/>
      <x:c r="P41" s="1"/>
    </x:row>
    <x:row r="42" ht="23" customHeight="1">
      <x:c r="A42" s="1"/>
      <x:c r="B42" s="1"/>
      <x:c r="C42" s="1"/>
      <x:c r="D42" s="1"/>
      <x:c r="E42" s="1"/>
      <x:c r="F42" s="1"/>
      <x:c r="G42" s="1"/>
      <x:c r="H42" s="1"/>
      <x:c r="I42" s="1"/>
      <x:c r="J42" s="1"/>
      <x:c r="K42" s="1"/>
      <x:c r="L42" s="1"/>
      <x:c r="M42" s="1"/>
      <x:c r="N42" s="1"/>
      <x:c r="O42" s="1"/>
      <x:c r="P42" s="1"/>
    </x:row>
    <x:row r="43" ht="23" customHeight="1">
      <x:c r="A43" s="1"/>
      <x:c r="B43" s="1"/>
      <x:c r="C43" s="1"/>
      <x:c r="D43" s="1"/>
      <x:c r="E43" s="1"/>
      <x:c r="F43" s="1"/>
      <x:c r="G43" s="1"/>
      <x:c r="H43" s="1"/>
      <x:c r="I43" s="1"/>
      <x:c r="J43" s="1"/>
      <x:c r="K43" s="1"/>
      <x:c r="L43" s="1"/>
      <x:c r="M43" s="1"/>
      <x:c r="N43" s="1"/>
      <x:c r="O43" s="1"/>
      <x:c r="P43" s="1"/>
    </x:row>
    <x:row r="44" ht="23" customHeight="1">
      <x:c r="A44" s="1"/>
      <x:c r="B44" s="1"/>
      <x:c r="C44" s="1"/>
      <x:c r="D44" s="1"/>
      <x:c r="E44" s="1"/>
      <x:c r="F44" s="1"/>
      <x:c r="G44" s="1"/>
      <x:c r="H44" s="1"/>
      <x:c r="I44" s="1"/>
      <x:c r="J44" s="1"/>
      <x:c r="K44" s="1"/>
      <x:c r="L44" s="1"/>
      <x:c r="M44" s="1"/>
      <x:c r="N44" s="1"/>
      <x:c r="O44" s="1"/>
      <x:c r="P44" s="1"/>
    </x:row>
    <x:row r="45" ht="23" customHeight="1">
      <x:c r="A45" s="1"/>
      <x:c r="B45" s="1"/>
      <x:c r="C45" s="1"/>
      <x:c r="D45" s="1"/>
      <x:c r="E45" s="1"/>
      <x:c r="F45" s="1"/>
      <x:c r="G45" s="1"/>
      <x:c r="H45" s="1"/>
      <x:c r="I45" s="1"/>
      <x:c r="J45" s="1"/>
      <x:c r="K45" s="1"/>
      <x:c r="L45" s="1"/>
      <x:c r="M45" s="1"/>
      <x:c r="N45" s="1"/>
      <x:c r="O45" s="1"/>
      <x:c r="P45" s="1"/>
    </x:row>
    <x:row r="46" ht="23" customHeight="1">
      <x:c r="A46" s="1"/>
      <x:c r="B46" s="1"/>
      <x:c r="C46" s="1"/>
      <x:c r="D46" s="1"/>
      <x:c r="E46" s="1"/>
      <x:c r="F46" s="1"/>
      <x:c r="G46" s="1"/>
      <x:c r="H46" s="1"/>
      <x:c r="I46" s="1"/>
      <x:c r="J46" s="1"/>
      <x:c r="K46" s="1"/>
      <x:c r="L46" s="1"/>
      <x:c r="M46" s="1"/>
      <x:c r="N46" s="1"/>
      <x:c r="O46" s="1"/>
      <x:c r="P46" s="1"/>
    </x:row>
    <x:row r="47" ht="23" customHeight="1">
      <x:c r="A47" s="1"/>
      <x:c r="B47" s="1"/>
      <x:c r="C47" s="1"/>
      <x:c r="D47" s="1"/>
      <x:c r="E47" s="1"/>
      <x:c r="F47" s="1"/>
      <x:c r="G47" s="1"/>
      <x:c r="H47" s="1"/>
      <x:c r="I47" s="1"/>
      <x:c r="J47" s="1"/>
      <x:c r="K47" s="1"/>
      <x:c r="L47" s="1"/>
      <x:c r="M47" s="1"/>
      <x:c r="N47" s="1"/>
      <x:c r="O47" s="1"/>
      <x:c r="P47" s="1"/>
    </x:row>
    <x:row r="48" ht="23" customHeight="1">
      <x:c r="A48" s="1"/>
      <x:c r="B48" s="1"/>
      <x:c r="C48" s="1"/>
      <x:c r="D48" s="1"/>
      <x:c r="E48" s="1"/>
      <x:c r="F48" s="1"/>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e7136298ac4f4a54"/>
</x:worksheet>
</file>

<file path=xl/worksheets/sheet8.xml><?xml version="1.0" encoding="utf-8"?>
<x:worksheet xmlns:x="http://schemas.openxmlformats.org/spreadsheetml/2006/main">
  <x:sheetViews>
    <x:sheetView showGridLines="0" workbookViewId="0"/>
  </x:sheetViews>
  <x:sheetFormatPr defaultRowHeight="15"/>
  <x:cols>
    <x:col min="1" max="1" width="3" hidden="0" customWidth="1"/>
    <x:col min="2" max="2" width="12" hidden="0" customWidth="1"/>
    <x:col min="3" max="3" width="38" hidden="0" customWidth="1"/>
    <x:col min="4" max="4" width="110" hidden="0" customWidth="1"/>
    <x:col min="5" max="5" width="45" hidden="0" customWidth="1"/>
    <x:col min="6" max="6" width="90"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Fontes</x:v>
      </x:c>
      <x:c r="C2" s="32"/>
      <x:c r="D2" s="32"/>
      <x:c r="E2" s="32"/>
      <x:c r="F2" s="32"/>
      <x:c r="G2" s="32"/>
      <x:c r="H2" s="32"/>
      <x:c r="I2" s="1"/>
      <x:c r="J2" s="1"/>
      <x:c r="K2" s="1"/>
      <x:c r="L2" s="1"/>
      <x:c r="M2" s="1"/>
      <x:c r="N2" s="1"/>
      <x:c r="O2" s="1"/>
      <x:c r="P2" s="1"/>
    </x:row>
    <x:row r="3" ht="26" customHeight="1">
      <x:c r="A3" s="1"/>
      <x:c r="B3" s="34" t="str">
        <x:v>Gislaine Araujo Silva | 02/11/2026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ID</x:v>
      </x:c>
      <x:c r="C6" s="8" t="str">
        <x:v>Emissor</x:v>
      </x:c>
      <x:c r="D6" s="8" t="str">
        <x:v>URL original</x:v>
      </x:c>
      <x:c r="E6" s="8" t="str">
        <x:v>Natureza / data</x:v>
      </x:c>
      <x:c r="F6" s="8" t="str">
        <x:v>Uso e limite</x:v>
      </x:c>
      <x:c r="G6" s="1"/>
      <x:c r="H6" s="1"/>
      <x:c r="I6" s="1"/>
      <x:c r="J6" s="1"/>
      <x:c r="K6" s="1"/>
      <x:c r="L6" s="1"/>
      <x:c r="M6" s="1"/>
      <x:c r="N6" s="1"/>
      <x:c r="O6" s="1"/>
      <x:c r="P6" s="1"/>
    </x:row>
    <x:row r="7" ht="64" customHeight="1">
      <x:c r="A7" s="1"/>
      <x:c r="B7" s="10" t="str">
        <x:v>BASE</x:v>
      </x:c>
      <x:c r="C7" s="10" t="str">
        <x:v>Planilha recebida de Gislaine</x:v>
      </x:c>
      <x:c r="D7" s="10" t="str">
        <x:v>Arquivo recebido / hipótese explícita</x:v>
      </x:c>
      <x:c r="E7" s="10" t="str">
        <x:v>Valores e percentuais recebidos</x:v>
      </x:c>
      <x:c r="F7" s="10" t="str">
        <x:v>Não é proposta integral nem validação de mercado.</x:v>
      </x:c>
      <x:c r="G7" s="1"/>
      <x:c r="H7" s="1"/>
      <x:c r="I7" s="1"/>
      <x:c r="J7" s="1"/>
      <x:c r="K7" s="1"/>
      <x:c r="L7" s="1"/>
      <x:c r="M7" s="1"/>
      <x:c r="N7" s="1"/>
      <x:c r="O7" s="1"/>
      <x:c r="P7" s="1"/>
    </x:row>
    <x:row r="8" ht="64" customHeight="1">
      <x:c r="A8" s="1"/>
      <x:c r="B8" s="10" t="str">
        <x:v>HIP</x:v>
      </x:c>
      <x:c r="C8" s="10" t="str">
        <x:v>Premissas deste estudo</x:v>
      </x:c>
      <x:c r="D8" s="10" t="str">
        <x:v>Arquivo recebido / hipótese explícita</x:v>
      </x:c>
      <x:c r="E8" s="10" t="str">
        <x:v>Hipóteses do analista</x:v>
      </x:c>
      <x:c r="F8" s="10" t="str">
        <x:v>Não é fonte externa, cotação ou dado de mercado.</x:v>
      </x:c>
      <x:c r="G8" s="1"/>
      <x:c r="H8" s="1"/>
      <x:c r="I8" s="1"/>
      <x:c r="J8" s="1"/>
      <x:c r="K8" s="1"/>
      <x:c r="L8" s="1"/>
      <x:c r="M8" s="1"/>
      <x:c r="N8" s="1"/>
      <x:c r="O8" s="1"/>
      <x:c r="P8" s="1"/>
    </x:row>
    <x:row r="9" ht="64" customHeight="1">
      <x:c r="A9" s="1"/>
      <x:c r="B9" s="10" t="str">
        <x:v>INF01</x:v>
      </x:c>
      <x:c r="C9" s="10" t="str">
        <x:v>DNCP</x:v>
      </x:c>
      <x:c r="D9" s="10" t="str">
        <x:v>https://www.contrataciones.gov.py/licitaciones/convocatoria/1f163291-3337-6164-90b4-a558eadce0f5/items-solicitados/lotes/iRzP1Dhet%252BsDFlzFRQolEmVniL%252FsSR1ROrVUcsNKsm77HgsuBMoUSw%253D%253D.html?page=2</x:v>
      </x:c>
      <x:c r="E9" s="10" t="str">
        <x:v>preço unitário estimado de licitação</x:v>
      </x:c>
      <x:c r="F9" s="10" t="str">
        <x:v>componentes de outra obra; não inclui automaticamente terraplenagem geral, passeios e drenagem profunda; componente de outra obra; não valida pacote integral. Data-base e BDI de contratação não comprovados.</x:v>
      </x:c>
      <x:c r="G9" s="1"/>
      <x:c r="H9" s="1"/>
      <x:c r="I9" s="1"/>
      <x:c r="J9" s="1"/>
      <x:c r="K9" s="1"/>
      <x:c r="L9" s="1"/>
      <x:c r="M9" s="1"/>
      <x:c r="N9" s="1"/>
      <x:c r="O9" s="1"/>
      <x:c r="P9" s="1"/>
    </x:row>
    <x:row r="10" ht="64" customHeight="1">
      <x:c r="A10" s="1"/>
      <x:c r="B10" s="10" t="str">
        <x:v>INF02</x:v>
      </x:c>
      <x:c r="C10" s="10" t="str">
        <x:v>CYPE Paraguay</x:v>
      </x:c>
      <x:c r="D10" s="10" t="str">
        <x:v>https://paraguay.generadordeprecios.info/espacios_urbanos/Preparacion_del_terreno/AC_Movimiento_de_tierras_en_obra_/Excavaciones/ACE040_Excavacion_de_zanjas__con_medios_me_0_0_3_0_0_0.html</x:v>
      </x:c>
      <x:c r="E10" s="10" t="str">
        <x:v>composição de custo direto</x:v>
      </x:c>
      <x:c r="F10" s="10" t="str">
        <x:v>vala até 1,25m em terra desagregada, carga; sem transporte; componente de outra obra; não valida pacote integral. Data-base e BDI de contratação não comprovados.</x:v>
      </x:c>
      <x:c r="G10" s="1"/>
      <x:c r="H10" s="1"/>
      <x:c r="I10" s="1"/>
      <x:c r="J10" s="1"/>
      <x:c r="K10" s="1"/>
      <x:c r="L10" s="1"/>
      <x:c r="M10" s="1"/>
      <x:c r="N10" s="1"/>
      <x:c r="O10" s="1"/>
      <x:c r="P10" s="1"/>
    </x:row>
    <x:row r="11" ht="64" customHeight="1">
      <x:c r="A11" s="1"/>
      <x:c r="B11" s="10" t="str">
        <x:v>INF03</x:v>
      </x:c>
      <x:c r="C11" s="10" t="str">
        <x:v>CYPE Paraguay</x:v>
      </x:c>
      <x:c r="D11" s="10" t="str">
        <x:v>https://paraguay.generadordeprecios.info/espacios_urbanos/Preparacion_del_terreno/AC_Movimiento_de_tierras_en_obra_/ACR_Extendidos__rellenos_y_compact/Relleno_de_zanjas.html</x:v>
      </x:c>
      <x:c r="E11" s="10" t="str">
        <x:v>composição de custo direto</x:v>
      </x:c>
      <x:c r="F11" s="10" t="str">
        <x:v>reaterro solo próprio a 90% Proctor; não preço para qualquer compactação ou solo comprado; componente de outra obra; não valida pacote integral. Data-base e BDI de contratação não comprovados.</x:v>
      </x:c>
      <x:c r="G11" s="1"/>
      <x:c r="H11" s="1"/>
      <x:c r="I11" s="1"/>
      <x:c r="J11" s="1"/>
      <x:c r="K11" s="1"/>
      <x:c r="L11" s="1"/>
      <x:c r="M11" s="1"/>
      <x:c r="N11" s="1"/>
      <x:c r="O11" s="1"/>
      <x:c r="P11" s="1"/>
    </x:row>
    <x:row r="12" ht="64" customHeight="1">
      <x:c r="A12" s="1"/>
      <x:c r="B12" s="10" t="str">
        <x:v>INF04</x:v>
      </x:c>
      <x:c r="C12" s="10" t="str">
        <x:v>CYPE Paraguay</x:v>
      </x:c>
      <x:c r="D12" s="10" t="str">
        <x:v>https://paraguay.generadordeprecios.info/espacios_urbanos/Instalaciones/Urbanas/Redes_de_saneamiento/Colector_enterrado_de_hormigon_masivo.html</x:v>
      </x:c>
      <x:c r="E12" s="10" t="str">
        <x:v>composição de custo direto</x:v>
      </x:c>
      <x:c r="F12" s="10" t="str">
        <x:v>coletor concreto DN300, berço e assentamento; exclui vala/reaterro principal e estações; especificação requer projeto; componente de outra obra; não valida pacote integral. Data-base e BDI de contratação não comprovados.</x:v>
      </x:c>
      <x:c r="G12" s="1"/>
      <x:c r="H12" s="1"/>
      <x:c r="I12" s="1"/>
      <x:c r="J12" s="1"/>
      <x:c r="K12" s="1"/>
      <x:c r="L12" s="1"/>
      <x:c r="M12" s="1"/>
      <x:c r="N12" s="1"/>
      <x:c r="O12" s="1"/>
      <x:c r="P12" s="1"/>
    </x:row>
    <x:row r="13" ht="64" customHeight="1">
      <x:c r="A13" s="1"/>
      <x:c r="B13" s="10" t="str">
        <x:v>INF05</x:v>
      </x:c>
      <x:c r="C13" s="10" t="str">
        <x:v>CYPE Paraguay</x:v>
      </x:c>
      <x:c r="D13" s="10" t="str">
        <x:v>https://paraguay.generadordeprecios.info/espacios_urbanos/Instalaciones/Urbanas/IUB_Lineas_subterraneas_de_baja_te/IUB020_Linea_subterranea_de_distribucion_d.html</x:v>
      </x:c>
      <x:c r="E13" s="10" t="str">
        <x:v>composição de custo direto</x:v>
      </x:c>
      <x:c r="F13" s="10" t="str">
        <x:v>BT alumínio 4x50mm2 enterramento direto; sem vala/reaterro principal, MT e transformadores; não somar duto do mesmo trecho; componente de outra obra; não valida pacote integral. Data-base e BDI de contratação não comprovados.</x:v>
      </x:c>
      <x:c r="G13" s="1"/>
      <x:c r="H13" s="1"/>
      <x:c r="I13" s="1"/>
      <x:c r="J13" s="1"/>
      <x:c r="K13" s="1"/>
      <x:c r="L13" s="1"/>
      <x:c r="M13" s="1"/>
      <x:c r="N13" s="1"/>
      <x:c r="O13" s="1"/>
      <x:c r="P13" s="1"/>
    </x:row>
    <x:row r="14" ht="64" customHeight="1">
      <x:c r="A14" s="1"/>
      <x:c r="B14" s="10" t="str">
        <x:v>INF06</x:v>
      </x:c>
      <x:c r="C14" s="10" t="str">
        <x:v>CYPE Paraguay</x:v>
      </x:c>
      <x:c r="D14" s="10" t="str">
        <x:v>https://paraguay.generadordeprecios.info/espacios_urbanos/Preparacion_del_terreno/AC_Movimiento_de_tierras_en_obra_/Excavaciones/ACE015_Excavacion_de_tierras_a_cielo_abier.html</x:v>
      </x:c>
      <x:c r="E14" s="10" t="str">
        <x:v>composição de custo direto</x:v>
      </x:c>
      <x:c r="F14" s="10" t="str">
        <x:v>escavação aberta terra branda até 4m e carga; sem transporte, solo importado ou estabilização; componente de outra obra; não valida pacote integral. Data-base e BDI de contratação não comprovados.</x:v>
      </x:c>
      <x:c r="G14" s="1"/>
      <x:c r="H14" s="1"/>
      <x:c r="I14" s="1"/>
      <x:c r="J14" s="1"/>
      <x:c r="K14" s="1"/>
      <x:c r="L14" s="1"/>
      <x:c r="M14" s="1"/>
      <x:c r="N14" s="1"/>
      <x:c r="O14" s="1"/>
      <x:c r="P14" s="1"/>
    </x:row>
    <x:row r="15" ht="64" customHeight="1">
      <x:c r="A15" s="1"/>
      <x:c r="B15" s="10" t="str">
        <x:v>L01</x:v>
      </x:c>
      <x:c r="C15" s="10" t="str">
        <x:v>Tecnimetal</x:v>
      </x:c>
      <x:c r="D15" s="10" t="str">
        <x:v>https://www.tecnimetal.com.py/techos.html</x:v>
      </x:c>
      <x:c r="E15" s="10" t="str">
        <x:v>preço público fabricação/montagem; sem pilares</x:v>
      </x:c>
      <x:c r="F15" s="10" t="str">
        <x:v>somente componente de quiosque, não valida pacote; não valida integralmente pacote do empreendimento</x:v>
      </x:c>
      <x:c r="G15" s="1"/>
      <x:c r="H15" s="1"/>
      <x:c r="I15" s="1"/>
      <x:c r="J15" s="1"/>
      <x:c r="K15" s="1"/>
      <x:c r="L15" s="1"/>
      <x:c r="M15" s="1"/>
      <x:c r="N15" s="1"/>
      <x:c r="O15" s="1"/>
      <x:c r="P15" s="1"/>
    </x:row>
    <x:row r="16" ht="64" customHeight="1">
      <x:c r="A16" s="1"/>
      <x:c r="B16" s="10" t="str">
        <x:v>L02</x:v>
      </x:c>
      <x:c r="C16" s="10" t="str">
        <x:v>RPM Distribuidora</x:v>
      </x:c>
      <x:c r="D16" s="10" t="str">
        <x:v>https://www.distribuidorarpm.com.py/producto/1008491/basurero-nobre-con-ruedas-de-240-lts-negro-58255</x:v>
      </x:c>
      <x:c r="E16" s="10" t="str">
        <x:v>varejo; página indica 1 unidade em estoque</x:v>
      </x:c>
      <x:c r="F16" s="10" t="str">
        <x:v>15 contentores; não atende sensor sozinho; não valida integralmente pacote do empreendimento</x:v>
      </x:c>
      <x:c r="G16" s="1"/>
      <x:c r="H16" s="1"/>
      <x:c r="I16" s="1"/>
      <x:c r="J16" s="1"/>
      <x:c r="K16" s="1"/>
      <x:c r="L16" s="1"/>
      <x:c r="M16" s="1"/>
      <x:c r="N16" s="1"/>
      <x:c r="O16" s="1"/>
      <x:c r="P16" s="1"/>
    </x:row>
    <x:row r="17" ht="64" customHeight="1">
      <x:c r="A17" s="1"/>
      <x:c r="B17" s="10" t="str">
        <x:v>L03</x:v>
      </x:c>
      <x:c r="C17" s="10" t="str">
        <x:v>Canadian Houses Paraguay</x:v>
      </x:c>
      <x:c r="D17" s="10" t="str">
        <x:v>https://canadianhouses.com.py/cuanto-cuesta-construir-casa-paraguay</x:v>
      </x:c>
      <x:c r="E17" s="10" t="str">
        <x:v>preços referenciais desde; residencial</x:v>
      </x:c>
      <x:c r="F17" s="10" t="str">
        <x:v>controle externo de ordem de grandeza; não preço de clube ou equipamento; não valida integralmente pacote do empreendimento</x:v>
      </x:c>
      <x:c r="G17" s="1"/>
      <x:c r="H17" s="1"/>
      <x:c r="I17" s="1"/>
      <x:c r="J17" s="1"/>
      <x:c r="K17" s="1"/>
      <x:c r="L17" s="1"/>
      <x:c r="M17" s="1"/>
      <x:c r="N17" s="1"/>
      <x:c r="O17" s="1"/>
      <x:c r="P17" s="1"/>
    </x:row>
    <x:row r="18" ht="64" customHeight="1">
      <x:c r="A18" s="1"/>
      <x:c r="B18" s="10" t="str">
        <x:v>L04</x:v>
      </x:c>
      <x:c r="C18" s="10" t="str">
        <x:v>VENDIDO</x:v>
      </x:c>
      <x:c r="D18" s="10" t="str">
        <x:v>https://vendido.com.py/anteproyecto</x:v>
      </x:c>
      <x:c r="E18" s="10" t="str">
        <x:v>referência de mercado declarada por imobiliária a partir de construtoras aliadas</x:v>
      </x:c>
      <x:c r="F18" s="10" t="str">
        <x:v>apoio coberto viveiro e edifícios; não cotação técnica; não valida integralmente pacote do empreendimento</x:v>
      </x:c>
      <x:c r="G18" s="1"/>
      <x:c r="H18" s="1"/>
      <x:c r="I18" s="1"/>
      <x:c r="J18" s="1"/>
      <x:c r="K18" s="1"/>
      <x:c r="L18" s="1"/>
      <x:c r="M18" s="1"/>
      <x:c r="N18" s="1"/>
      <x:c r="O18" s="1"/>
      <x:c r="P18" s="1"/>
    </x:row>
    <x:row r="19" ht="64" customHeight="1">
      <x:c r="A19" s="1"/>
      <x:c r="B19" s="10" t="str">
        <x:v>L05</x:v>
      </x:c>
      <x:c r="C19" s="10" t="str">
        <x:v>CYPE</x:v>
      </x:c>
      <x:c r="D19" s="10" t="str">
        <x:v>https://paraguay.generadordeprecios.info/obra_nueva/Urbanizacion_interior_de_la_parcela/Pistas_deportivas/Pisos_de_pasto_sintetico/Piso_deportivo_de_pasto_sintetico_0_2_1c14_0.html</x:v>
      </x:c>
      <x:c r="E19" s="10" t="str">
        <x:v>composição custo direto; data-base não expressa</x:v>
      </x:c>
      <x:c r="F19" s="10" t="str">
        <x:v>piso futebol exclusivamente; não valida integralmente pacote do empreendimento</x:v>
      </x:c>
      <x:c r="G19" s="1"/>
      <x:c r="H19" s="1"/>
      <x:c r="I19" s="1"/>
      <x:c r="J19" s="1"/>
      <x:c r="K19" s="1"/>
      <x:c r="L19" s="1"/>
      <x:c r="M19" s="1"/>
      <x:c r="N19" s="1"/>
      <x:c r="O19" s="1"/>
      <x:c r="P19" s="1"/>
    </x:row>
    <x:row r="20" ht="64" customHeight="1">
      <x:c r="A20" s="1"/>
      <x:c r="B20" s="10" t="str">
        <x:v>L06</x:v>
      </x:c>
      <x:c r="C20" s="10" t="str">
        <x:v>CYPE</x:v>
      </x:c>
      <x:c r="D20" s="10" t="str">
        <x:v>https://paraguay.generadordeprecios.info/espacios_urbanos/Pisos_y_pavimentos_urbanos/Pisos_deportivos/De_tierra_batida/MDT010_Piso_deportivo_de_tierra_batida_par.html</x:v>
      </x:c>
      <x:c r="E20" s="10" t="str">
        <x:v>composição parcial; inclui camadas de drenagem internas</x:v>
      </x:c>
      <x:c r="F20" s="10" t="str">
        <x:v>piso tênis; sem cerca/luz/rede externa; não valida integralmente pacote do empreendimento</x:v>
      </x:c>
      <x:c r="G20" s="1"/>
      <x:c r="H20" s="1"/>
      <x:c r="I20" s="1"/>
      <x:c r="J20" s="1"/>
      <x:c r="K20" s="1"/>
      <x:c r="L20" s="1"/>
      <x:c r="M20" s="1"/>
      <x:c r="N20" s="1"/>
      <x:c r="O20" s="1"/>
      <x:c r="P20" s="1"/>
    </x:row>
    <x:row r="21" ht="64" customHeight="1">
      <x:c r="A21" s="1"/>
      <x:c r="B21" s="10" t="str">
        <x:v>L07</x:v>
      </x:c>
      <x:c r="C21" s="10" t="str">
        <x:v>Mar del Norte</x:v>
      </x:c>
      <x:c r="D21" s="10" t="str">
        <x:v>https://mardelnorte.com.py/products/invernadero-armable-tunel-12m-4x3x2mts</x:v>
      </x:c>
      <x:c r="E21" s="10" t="str">
        <x:v>varejo impostos incluídos; kit</x:v>
      </x:c>
      <x:c r="F21" s="10" t="str">
        <x:v>rejeitado para extrapolação de viveiro profissional; não valida integralmente pacote do empreendimento</x:v>
      </x:c>
      <x:c r="G21" s="1"/>
      <x:c r="H21" s="1"/>
      <x:c r="I21" s="1"/>
      <x:c r="J21" s="1"/>
      <x:c r="K21" s="1"/>
      <x:c r="L21" s="1"/>
      <x:c r="M21" s="1"/>
      <x:c r="N21" s="1"/>
      <x:c r="O21" s="1"/>
      <x:c r="P21" s="1"/>
    </x:row>
    <x:row r="22" ht="64" customHeight="1">
      <x:c r="A22" s="1"/>
      <x:c r="B22" s="10" t="str">
        <x:v>L08</x:v>
      </x:c>
      <x:c r="C22" s="10" t="str">
        <x:v>DINAC</x:v>
      </x:c>
      <x:c r="D22" s="10" t="str">
        <x:v>https://www.dinac.gov.py/Seguridad_Operacional/docs/DINAC_R14_VOL_2_HELIPUERTOS_2021.pdf</x:v>
      </x:c>
      <x:c r="E22" s="10" t="str">
        <x:v>tentativa de reabertura falhou por limite de tamanho 31,8MB; fonte normativa histórica do projeto</x:v>
      </x:c>
      <x:c r="F22" s="10" t="str">
        <x:v>não oferece preço nem confirma dimensões atuais; referência técnica histórica, não serve de preço</x:v>
      </x:c>
      <x:c r="G22" s="1"/>
      <x:c r="H22" s="1"/>
      <x:c r="I22" s="1"/>
      <x:c r="J22" s="1"/>
      <x:c r="K22" s="1"/>
      <x:c r="L22" s="1"/>
      <x:c r="M22" s="1"/>
      <x:c r="N22" s="1"/>
      <x:c r="O22" s="1"/>
      <x:c r="P22" s="1"/>
    </x:row>
    <x:row r="23" ht="64" customHeight="1">
      <x:c r="A23" s="1"/>
      <x:c r="B23" s="10" t="str">
        <x:v>FX</x:v>
      </x:c>
      <x:c r="C23" s="10" t="str">
        <x:v>Banco Central del Paraguay</x:v>
      </x:c>
      <x:c r="D23" s="10" t="str">
        <x:v>https://www.bcp.gov.py/webapps/web/cotizacion/monedas</x:v>
      </x:c>
      <x:c r="E23" s="10" t="str">
        <x:v>Cotação 30/10/2026</x:v>
      </x:c>
      <x:c r="F23" s="10" t="str">
        <x:v>BCP confirma5944,76PYG/USD e5,4043BRL/USD. Base5,40BRL/USDé convenção recebida, não valor exatoBCP. ConversãoPYGparaUSD=PYG/5944,76, sem arredondar até resultado. FX diário é variável; data precisa figurar na interface.</x:v>
      </x:c>
      <x:c r="G23" s="1"/>
      <x:c r="H23" s="1"/>
      <x:c r="I23" s="1"/>
      <x:c r="J23" s="1"/>
      <x:c r="K23" s="1"/>
      <x:c r="L23" s="1"/>
      <x:c r="M23" s="1"/>
      <x:c r="N23" s="1"/>
      <x:c r="O23" s="1"/>
      <x:c r="P23" s="1"/>
    </x:row>
    <x:row r="24" ht="64" customHeight="1">
      <x:c r="A24" s="1"/>
      <x:c r="B24" s="10" t="str">
        <x:v>IVA</x:v>
      </x:c>
      <x:c r="C24" s="10" t="str">
        <x:v>DNIT, Lei6380/2019</x:v>
      </x:c>
      <x:c r="D24" s="10" t="str">
        <x:v>https://www.dnit.gov.py/en/web/portal-institucional/w/ley-n-6380-19</x:v>
      </x:c>
      <x:c r="E24" s="10" t="str">
        <x:v>Norma tributária, arts21,85,86,90</x:v>
      </x:c>
      <x:c r="F24" s="10" t="str">
        <x:v>IRE10%sobre renda líquida tributável;IVA5%sobre30%valoroperação. PreçoIVAincluído:baseeconômica=bruto/1,015;débito=bruto-base. Não confundir débito com impostoapagar(abatidos créditos admissíveis). Aplicação depende estrutura/fatos, não comprova enquadramentoHeroes.</x:v>
      </x:c>
      <x:c r="G24" s="1"/>
      <x:c r="H24" s="1"/>
      <x:c r="I24" s="1"/>
      <x:c r="J24" s="1"/>
      <x:c r="K24" s="1"/>
      <x:c r="L24" s="1"/>
      <x:c r="M24" s="1"/>
      <x:c r="N24" s="1"/>
      <x:c r="O24" s="1"/>
      <x:c r="P24" s="1"/>
    </x:row>
    <x:row r="25" ht="64" customHeight="1">
      <x:c r="A25" s="1"/>
      <x:c r="B25" s="10" t="str">
        <x:v>RUN</x:v>
      </x:c>
      <x:c r="C25" s="10" t="str">
        <x:v>BACN, Lei7424/2025</x:v>
      </x:c>
      <x:c r="D25" s="10" t="str">
        <x:v>https://www.bacn.gov.py/leyes-paraguayas/12672/ley-n-74242025-que-crea-el-sistema-nacional-unificado</x:v>
      </x:c>
      <x:c r="E25" s="10" t="str">
        <x:v>Norma; arts142,191,194</x:v>
      </x:c>
      <x:c r="F25" s="10" t="str">
        <x:v>0,85%registral suportado.16,5mi*0,85%=140250USD é hipóteseválida somente se16,5miébasecabível e custoatribuídoaoempreendedor. Não inclui todas certidões/fracionamento. Art191:2%avalúofiscalurbano/suburbanoou5%rural, apósdeduções municipais; não aplicarpercentualaoVGV. Normas não comprovam aprovação/venda do projeto.</x:v>
      </x:c>
      <x:c r="G25" s="1"/>
      <x:c r="H25" s="1"/>
      <x:c r="I25" s="1"/>
      <x:c r="J25" s="1"/>
      <x:c r="K25" s="1"/>
      <x:c r="L25" s="1"/>
      <x:c r="M25" s="1"/>
      <x:c r="N25" s="1"/>
      <x:c r="O25" s="1"/>
      <x:c r="P25" s="1"/>
    </x:row>
    <x:row r="26" ht="64" customHeight="1">
      <x:c r="A26" s="1"/>
      <x:c r="B26" s="10" t="str">
        <x:v>NOT</x:v>
      </x:c>
      <x:c r="C26" s="10" t="str">
        <x:v>BACN, Lei1307/1987</x:v>
      </x:c>
      <x:c r="D26" s="10" t="str">
        <x:v>https://www.bacn.gov.py/leyes-paraguayas/2419/ley-n-1307-arancel-delnotario-publico</x:v>
      </x:c>
      <x:c r="E26" s="10" t="str">
        <x:v>Norma, art4g</x:v>
      </x:c>
      <x:c r="F26" s="10" t="str">
        <x:v>0,75%faixa superior a200miPYG.200miPYG/5944,76=33643,08USD.16,5mi*0,75%=123750USD é honorárioestimado,semescrituração/tributos/taxasextras. Base, rateiocomprador/vendedoredespesasjáincluídas exigemconferência; não é pacoteallin.</x:v>
      </x:c>
      <x:c r="G26" s="1"/>
      <x:c r="H26" s="1"/>
      <x:c r="I26" s="1"/>
      <x:c r="J26" s="1"/>
      <x:c r="K26" s="1"/>
      <x:c r="L26" s="1"/>
      <x:c r="M26" s="1"/>
      <x:c r="N26" s="1"/>
      <x:c r="O26" s="1"/>
      <x:c r="P26" s="1"/>
    </x:row>
    <x:row r="27" ht="64" customHeight="1">
      <x:c r="A27" s="1"/>
      <x:c r="B27" s="10" t="str">
        <x:v>MET</x:v>
      </x:c>
      <x:c r="C27" s="10" t="str">
        <x:v>Alberta Infrastructure</x:v>
      </x:c>
      <x:c r="D27" s="10" t="str">
        <x:v>https://www.alberta.ca/system/files/infra-tr-dt-series-19-estimates.pdf</x:v>
      </x:c>
      <x:c r="E27" s="10" t="str">
        <x:v>Método de estimativas</x:v>
      </x:c>
      <x:c r="F27" s="10" t="str">
        <x:v>Método de estimativas; não é referência de preço paraguaio nem certificação de classe deste projeto.</x:v>
      </x:c>
      <x:c r="G27" s="1"/>
      <x:c r="H27" s="1"/>
      <x:c r="I27" s="1"/>
      <x:c r="J27" s="1"/>
      <x:c r="K27" s="1"/>
      <x:c r="L27" s="1"/>
      <x:c r="M27" s="1"/>
      <x:c r="N27" s="1"/>
      <x:c r="O27" s="1"/>
      <x:c r="P27" s="1"/>
    </x:row>
    <x:row r="28" ht="64" customHeight="1">
      <x:c r="A28" s="1"/>
      <x:c r="B28" s="10" t="str">
        <x:v>M01</x:v>
      </x:c>
      <x:c r="C28" s="10" t="str">
        <x:v>Rialto — anúncio atribuído C21 Platinum</x:v>
      </x:c>
      <x:c r="D28" s="10" t="str">
        <x:v>https://asuncion.estate/es/central/vendo-lotes-barrio-cerrado-1564670</x:v>
      </x:c>
      <x:c r="E28" s="10" t="str">
        <x:v>Oferta em portal, intermediário identificado; não transação</x:v>
      </x:c>
      <x:c r="F28" s="10" t="str">
        <x:v>Cabeçalho450m² e83000USD; descrição185/195/215/220/225USD/m² por setor. Campo detalhes exibe4502 em conflito com cabeçalho. Preferir faixa textual diretamente publicada. Portal atribuiC21Platinum, não é confirmação de venda.</x:v>
      </x:c>
      <x:c r="G28" s="1"/>
      <x:c r="H28" s="1"/>
      <x:c r="I28" s="1"/>
      <x:c r="J28" s="1"/>
      <x:c r="K28" s="1"/>
      <x:c r="L28" s="1"/>
      <x:c r="M28" s="1"/>
      <x:c r="N28" s="1"/>
      <x:c r="O28" s="1"/>
      <x:c r="P28" s="1"/>
    </x:row>
    <x:row r="29" ht="64" customHeight="1">
      <x:c r="A29" s="1"/>
      <x:c r="B29" s="10" t="str">
        <x:v>M02</x:v>
      </x:c>
      <x:c r="C29" s="10" t="str">
        <x:v>Aquadelta — incorporador</x:v>
      </x:c>
      <x:c r="D29" s="10" t="str">
        <x:v>https://www.aquadelta.com.py/</x:v>
      </x:c>
      <x:c r="E29" s="10" t="str">
        <x:v>Preço inicial de lançamento anunciado</x:v>
      </x:c>
      <x:c r="F29" s="10" t="str">
        <x:v>Preço DESDE75000USD;600m² é MÉDIA e não área vinculada ao preço. É incorreto derivar125USD/m².25%entrada e810USDparceladesde/10anos não definem um único contrato.</x:v>
      </x:c>
      <x:c r="G29" s="1"/>
      <x:c r="H29" s="1"/>
      <x:c r="I29" s="1"/>
      <x:c r="J29" s="1"/>
      <x:c r="K29" s="1"/>
      <x:c r="L29" s="1"/>
      <x:c r="M29" s="1"/>
      <x:c r="N29" s="1"/>
      <x:c r="O29" s="1"/>
      <x:c r="P29" s="1"/>
    </x:row>
    <x:row r="30" ht="64" customHeight="1">
      <x:c r="A30" s="1"/>
      <x:c r="B30" s="10" t="str">
        <x:v>M03</x:v>
      </x:c>
      <x:c r="C30" s="10" t="str">
        <x:v>Aqua Village — Brokers BRO1760</x:v>
      </x:c>
      <x:c r="D30" s="10" t="str">
        <x:v>https://www.brokers.com.py/propiedad/1760_vendo-terreno-de-596m2-con-vista-al-lago-en-aqua-village/</x:v>
      </x:c>
      <x:c r="E30" s="10" t="str">
        <x:v>Oferta direta de corretora</x:v>
      </x:c>
      <x:c r="F30" s="10" t="str">
        <x:v>Oferta596m²,135000USD:226,51USD/m² derivado. Corretora não prova preço transacionado nem aplicabilidade ao imóvelHeroes.</x:v>
      </x:c>
      <x:c r="G30" s="1"/>
      <x:c r="H30" s="1"/>
      <x:c r="I30" s="1"/>
      <x:c r="J30" s="1"/>
      <x:c r="K30" s="1"/>
      <x:c r="L30" s="1"/>
      <x:c r="M30" s="1"/>
      <x:c r="N30" s="1"/>
      <x:c r="O30" s="1"/>
      <x:c r="P30" s="1"/>
    </x:row>
    <x:row r="31" ht="64" customHeight="1">
      <x:c r="A31" s="1"/>
      <x:c r="B31" s="10" t="str">
        <x:v>M04</x:v>
      </x:c>
      <x:c r="C31" s="10" t="str">
        <x:v>Costa del Lago — Sothebys lote17</x:v>
      </x:c>
      <x:c r="D31" s="10" t="str">
        <x:v>https://www.psir.com.py/propiedades/49673</x:v>
      </x:c>
      <x:c r="E31" s="10" t="str">
        <x:v>Oferta direta de corretora</x:v>
      </x:c>
      <x:c r="F31" s="10" t="str">
        <x:v>Texto explicita lote17área633,3m² e64000USD. Outro lote641,5m²/65000USD não constitui empreendimento independente.</x:v>
      </x:c>
      <x:c r="G31" s="1"/>
      <x:c r="H31" s="1"/>
      <x:c r="I31" s="1"/>
      <x:c r="J31" s="1"/>
      <x:c r="K31" s="1"/>
      <x:c r="L31" s="1"/>
      <x:c r="M31" s="1"/>
      <x:c r="N31" s="1"/>
      <x:c r="O31" s="1"/>
      <x:c r="P31" s="1"/>
    </x:row>
    <x:row r="32" ht="64" customHeight="1">
      <x:c r="A32" s="1"/>
      <x:c r="B32" s="10" t="str">
        <x:v>M05</x:v>
      </x:c>
      <x:c r="C32" s="10" t="str">
        <x:v>La Ribera — tabela C21 Platinum</x:v>
      </x:c>
      <x:c r="D32" s="10" t="str">
        <x:v>https://century21platinum.com.py/wp-content/uploads/2025/03/LOTES-DISPONIBLE-LA-RIBERA-21-10-25.pdf</x:v>
      </x:c>
      <x:c r="E32" s="10" t="str">
        <x:v>Tabela de oferta poço e parcelamento</x:v>
      </x:c>
      <x:c r="F32" s="10" t="str">
        <x:v>Tabela211025.983m²TOTAL incluem467PRÓPRIOS.350,33por m²PRÓPRIO na moeda$;166,43por m²total não é equivalente ao privativoHeroes. MoedaUSD é inferência ainda não confirmada, não apresentar como comprovada pela tabela.</x:v>
      </x:c>
      <x:c r="G32" s="1"/>
      <x:c r="H32" s="1"/>
      <x:c r="I32" s="1"/>
      <x:c r="J32" s="1"/>
      <x:c r="K32" s="1"/>
      <x:c r="L32" s="1"/>
      <x:c r="M32" s="1"/>
      <x:c r="N32" s="1"/>
      <x:c r="O32" s="1"/>
      <x:c r="P32" s="1"/>
    </x:row>
    <x:row r="33" ht="64" customHeight="1">
      <x:c r="A33" s="1"/>
      <x:c r="B33" s="10" t="str">
        <x:v>M06</x:v>
      </x:c>
      <x:c r="C33" s="10" t="str">
        <x:v>Barrio Nautico — tabela C21 Platinum</x:v>
      </x:c>
      <x:c r="D33" s="10" t="str">
        <x:v>https://century21platinum.com.py/wp-content/uploads/2025/10/LISTA-DE-PRECIOS-BARRIO-NAUTICO.pdf</x:v>
      </x:c>
      <x:c r="E33" s="10" t="str">
        <x:v>Tabela comercial anunciada</x:v>
      </x:c>
      <x:c r="F33" s="10" t="str">
        <x:v>CódigoBNA-M13-L1 mostra471,69m²/230por m²/108488,70total;faixa220–240. Sem cidade/identidade completa nem data do preço. Não é comparável local confirmado.</x:v>
      </x:c>
      <x:c r="G33" s="1"/>
      <x:c r="H33" s="1"/>
      <x:c r="I33" s="1"/>
      <x:c r="J33" s="1"/>
      <x:c r="K33" s="1"/>
      <x:c r="L33" s="1"/>
      <x:c r="M33" s="1"/>
      <x:c r="N33" s="1"/>
      <x:c r="O33" s="1"/>
      <x:c r="P33" s="1"/>
    </x:row>
    <x:row r="34" ht="64" customHeight="1">
      <x:c r="A34" s="1"/>
      <x:c r="B34" s="10" t="str">
        <x:v>M07</x:v>
      </x:c>
      <x:c r="C34" s="10" t="str">
        <x:v>Bosque Lago — HJGroup/Inmo Paraguay</x:v>
      </x:c>
      <x:c r="D34" s="10" t="str">
        <x:v>https://hjgroup.com.py/fraction/barrio-cerrado-bosque-lago</x:v>
      </x:c>
      <x:c r="E34" s="10" t="str">
        <x:v>Programa e financiamento do comercializador</x:v>
      </x:c>
      <x:c r="F34" s="10" t="str">
        <x:v>Página SEM PREÇO DE VENDA integral.120–1400m²;10%entrada e120parcelas ou sem entrada240meses;20%descontoàvista.750vendidos declaração comercial sem série, não provaabsorção.</x:v>
      </x:c>
      <x:c r="G34" s="1"/>
      <x:c r="H34" s="1"/>
      <x:c r="I34" s="1"/>
      <x:c r="J34" s="1"/>
      <x:c r="K34" s="1"/>
      <x:c r="L34" s="1"/>
      <x:c r="M34" s="1"/>
      <x:c r="N34" s="1"/>
      <x:c r="O34" s="1"/>
      <x:c r="P34" s="1"/>
    </x:row>
    <x:row r="35" ht="64" customHeight="1">
      <x:c r="A35" s="1"/>
      <x:c r="B35" s="10" t="str">
        <x:v>M08</x:v>
      </x:c>
      <x:c r="C35" s="10" t="str">
        <x:v>Los Sauces — comercializador</x:v>
      </x:c>
      <x:c r="D35" s="10" t="str">
        <x:v>https://lossaucesparaguay.com/</x:v>
      </x:c>
      <x:c r="E35" s="10" t="str">
        <x:v>Programa e condição inicial de financiamento</x:v>
      </x:c>
      <x:c r="F35" s="10" t="str">
        <x:v>Página SEM PREÇO DE VENDA integral.1000entrada/156parceladesde/até240meses são condições independentes. Não somar para gerar preço àvista.360m²desde e513lotes/20ha precisam conciliação se usados para densidade.</x:v>
      </x:c>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x:c r="C39" s="1"/>
      <x:c r="D39" s="1"/>
      <x:c r="E39" s="1"/>
      <x:c r="F39" s="1"/>
      <x:c r="G39" s="1"/>
      <x:c r="H39" s="1"/>
      <x:c r="I39" s="1"/>
      <x:c r="J39" s="1"/>
      <x:c r="K39" s="1"/>
      <x:c r="L39" s="1"/>
      <x:c r="M39" s="1"/>
      <x:c r="N39" s="1"/>
      <x:c r="O39" s="1"/>
      <x:c r="P39" s="1"/>
    </x:row>
    <x:row r="40" ht="23" customHeight="1">
      <x:c r="A40" s="1"/>
      <x:c r="B40" s="1"/>
      <x:c r="C40" s="1"/>
      <x:c r="D40" s="1"/>
      <x:c r="E40" s="1"/>
      <x:c r="F40" s="1"/>
      <x:c r="G40" s="1"/>
      <x:c r="H40" s="1"/>
      <x:c r="I40" s="1"/>
      <x:c r="J40" s="1"/>
      <x:c r="K40" s="1"/>
      <x:c r="L40" s="1"/>
      <x:c r="M40" s="1"/>
      <x:c r="N40" s="1"/>
      <x:c r="O40" s="1"/>
      <x:c r="P40" s="1"/>
    </x:row>
    <x:row r="41" ht="23" customHeight="1">
      <x:c r="A41" s="1"/>
      <x:c r="B41" s="1"/>
      <x:c r="C41" s="1"/>
      <x:c r="D41" s="1"/>
      <x:c r="E41" s="1"/>
      <x:c r="F41" s="1"/>
      <x:c r="G41" s="1"/>
      <x:c r="H41" s="1"/>
      <x:c r="I41" s="1"/>
      <x:c r="J41" s="1"/>
      <x:c r="K41" s="1"/>
      <x:c r="L41" s="1"/>
      <x:c r="M41" s="1"/>
      <x:c r="N41" s="1"/>
      <x:c r="O41" s="1"/>
      <x:c r="P41" s="1"/>
    </x:row>
    <x:row r="42" ht="23" customHeight="1">
      <x:c r="A42" s="1"/>
      <x:c r="B42" s="1"/>
      <x:c r="C42" s="1"/>
      <x:c r="D42" s="1"/>
      <x:c r="E42" s="1"/>
      <x:c r="F42" s="1"/>
      <x:c r="G42" s="1"/>
      <x:c r="H42" s="1"/>
      <x:c r="I42" s="1"/>
      <x:c r="J42" s="1"/>
      <x:c r="K42" s="1"/>
      <x:c r="L42" s="1"/>
      <x:c r="M42" s="1"/>
      <x:c r="N42" s="1"/>
      <x:c r="O42" s="1"/>
      <x:c r="P42" s="1"/>
    </x:row>
    <x:row r="43" ht="23" customHeight="1">
      <x:c r="A43" s="1"/>
      <x:c r="B43" s="1"/>
      <x:c r="C43" s="1"/>
      <x:c r="D43" s="1"/>
      <x:c r="E43" s="1"/>
      <x:c r="F43" s="1"/>
      <x:c r="G43" s="1"/>
      <x:c r="H43" s="1"/>
      <x:c r="I43" s="1"/>
      <x:c r="J43" s="1"/>
      <x:c r="K43" s="1"/>
      <x:c r="L43" s="1"/>
      <x:c r="M43" s="1"/>
      <x:c r="N43" s="1"/>
      <x:c r="O43" s="1"/>
      <x:c r="P43" s="1"/>
    </x:row>
    <x:row r="44" ht="23" customHeight="1">
      <x:c r="A44" s="1"/>
      <x:c r="B44" s="1"/>
      <x:c r="C44" s="1"/>
      <x:c r="D44" s="1"/>
      <x:c r="E44" s="1"/>
      <x:c r="F44" s="1"/>
      <x:c r="G44" s="1"/>
      <x:c r="H44" s="1"/>
      <x:c r="I44" s="1"/>
      <x:c r="J44" s="1"/>
      <x:c r="K44" s="1"/>
      <x:c r="L44" s="1"/>
      <x:c r="M44" s="1"/>
      <x:c r="N44" s="1"/>
      <x:c r="O44" s="1"/>
      <x:c r="P44" s="1"/>
    </x:row>
    <x:row r="45" ht="23" customHeight="1">
      <x:c r="A45" s="1"/>
      <x:c r="B45" s="1"/>
      <x:c r="C45" s="1"/>
      <x:c r="D45" s="1"/>
      <x:c r="E45" s="1"/>
      <x:c r="F45" s="1"/>
      <x:c r="G45" s="1"/>
      <x:c r="H45" s="1"/>
      <x:c r="I45" s="1"/>
      <x:c r="J45" s="1"/>
      <x:c r="K45" s="1"/>
      <x:c r="L45" s="1"/>
      <x:c r="M45" s="1"/>
      <x:c r="N45" s="1"/>
      <x:c r="O45" s="1"/>
      <x:c r="P45" s="1"/>
    </x:row>
    <x:row r="46" ht="23" customHeight="1">
      <x:c r="A46" s="1"/>
      <x:c r="B46" s="1"/>
      <x:c r="C46" s="1"/>
      <x:c r="D46" s="1"/>
      <x:c r="E46" s="1"/>
      <x:c r="F46" s="1"/>
      <x:c r="G46" s="1"/>
      <x:c r="H46" s="1"/>
      <x:c r="I46" s="1"/>
      <x:c r="J46" s="1"/>
      <x:c r="K46" s="1"/>
      <x:c r="L46" s="1"/>
      <x:c r="M46" s="1"/>
      <x:c r="N46" s="1"/>
      <x:c r="O46" s="1"/>
      <x:c r="P46" s="1"/>
    </x:row>
    <x:row r="47" ht="23" customHeight="1">
      <x:c r="A47" s="1"/>
      <x:c r="B47" s="1"/>
      <x:c r="C47" s="1"/>
      <x:c r="D47" s="1"/>
      <x:c r="E47" s="1"/>
      <x:c r="F47" s="1"/>
      <x:c r="G47" s="1"/>
      <x:c r="H47" s="1"/>
      <x:c r="I47" s="1"/>
      <x:c r="J47" s="1"/>
      <x:c r="K47" s="1"/>
      <x:c r="L47" s="1"/>
      <x:c r="M47" s="1"/>
      <x:c r="N47" s="1"/>
      <x:c r="O47" s="1"/>
      <x:c r="P47" s="1"/>
    </x:row>
    <x:row r="48" ht="23" customHeight="1">
      <x:c r="A48" s="1"/>
      <x:c r="B48" s="1"/>
      <x:c r="C48" s="1"/>
      <x:c r="D48" s="1"/>
      <x:c r="E48" s="1"/>
      <x:c r="F48" s="1"/>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f87beef7c5864fda"/>
</x:worksheet>
</file>

<file path=xl/worksheets/sheet9.xml><?xml version="1.0" encoding="utf-8"?>
<x:worksheet xmlns:x="http://schemas.openxmlformats.org/spreadsheetml/2006/main">
  <x:sheetViews>
    <x:sheetView showGridLines="0" workbookViewId="0"/>
  </x:sheetViews>
  <x:sheetFormatPr defaultRowHeight="15"/>
  <x:cols>
    <x:col min="1" max="1" width="3" hidden="0" customWidth="1"/>
    <x:col min="2" max="2" width="10" hidden="0" customWidth="1"/>
    <x:col min="3" max="3" width="70" hidden="0" customWidth="1"/>
    <x:col min="4" max="4" width="15" hidden="0" customWidth="1"/>
    <x:col min="5" max="5" width="15" hidden="0" customWidth="1"/>
    <x:col min="6" max="6" width="15" hidden="0" customWidth="1"/>
    <x:col min="7" max="7" width="15" hidden="0" customWidth="1"/>
    <x:col min="8" max="8" width="15" hidden="0" customWidth="1"/>
    <x:col min="9" max="9" width="4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3" customHeight="1">
      <x:c r="A1" s="1"/>
      <x:c r="B1" s="1"/>
      <x:c r="C1" s="1"/>
      <x:c r="D1" s="1"/>
      <x:c r="E1" s="1"/>
      <x:c r="F1" s="1"/>
      <x:c r="G1" s="1"/>
      <x:c r="H1" s="1"/>
      <x:c r="I1" s="1"/>
      <x:c r="J1" s="1"/>
      <x:c r="K1" s="1"/>
      <x:c r="L1" s="1"/>
      <x:c r="M1" s="1"/>
      <x:c r="N1" s="1"/>
      <x:c r="O1" s="1"/>
      <x:c r="P1" s="1"/>
    </x:row>
    <x:row r="2" ht="34" customHeight="1">
      <x:c r="A2" s="1"/>
      <x:c r="B2" s="31" t="str">
        <x:v>Base recebida</x:v>
      </x:c>
      <x:c r="C2" s="32"/>
      <x:c r="D2" s="32"/>
      <x:c r="E2" s="32"/>
      <x:c r="F2" s="32"/>
      <x:c r="G2" s="32"/>
      <x:c r="H2" s="32"/>
      <x:c r="I2" s="1"/>
      <x:c r="J2" s="1"/>
      <x:c r="K2" s="1"/>
      <x:c r="L2" s="1"/>
      <x:c r="M2" s="1"/>
      <x:c r="N2" s="1"/>
      <x:c r="O2" s="1"/>
      <x:c r="P2" s="1"/>
    </x:row>
    <x:row r="3" ht="26" customHeight="1">
      <x:c r="A3" s="1"/>
      <x:c r="B3" s="34" t="str">
        <x:v>Gislaine Araujo Silva | 02/11/2026 | USD</x:v>
      </x:c>
      <x:c r="C3" s="32"/>
      <x:c r="D3" s="32"/>
      <x:c r="E3" s="32"/>
      <x:c r="F3" s="32"/>
      <x:c r="G3" s="32"/>
      <x:c r="H3" s="32"/>
      <x:c r="I3" s="1"/>
      <x:c r="J3" s="1"/>
      <x:c r="K3" s="1"/>
      <x:c r="L3" s="1"/>
      <x:c r="M3" s="1"/>
      <x:c r="N3" s="1"/>
      <x:c r="O3" s="1"/>
      <x:c r="P3" s="1"/>
    </x:row>
    <x:row r="4" ht="23" customHeight="1">
      <x:c r="A4" s="1"/>
      <x:c r="B4" s="1"/>
      <x:c r="C4" s="1"/>
      <x:c r="D4" s="1"/>
      <x:c r="E4" s="1"/>
      <x:c r="F4" s="1"/>
      <x:c r="G4" s="1"/>
      <x:c r="H4" s="1"/>
      <x:c r="I4" s="1"/>
      <x:c r="J4" s="1"/>
      <x:c r="K4" s="1"/>
      <x:c r="L4" s="1"/>
      <x:c r="M4" s="1"/>
      <x:c r="N4" s="1"/>
      <x:c r="O4" s="1"/>
      <x:c r="P4" s="1"/>
    </x:row>
    <x:row r="5" ht="23" customHeight="1">
      <x:c r="A5" s="1"/>
      <x:c r="B5" s="1"/>
      <x:c r="C5" s="1"/>
      <x:c r="D5" s="1"/>
      <x:c r="E5" s="1"/>
      <x:c r="F5" s="1"/>
      <x:c r="G5" s="1"/>
      <x:c r="H5" s="1"/>
      <x:c r="I5" s="1"/>
      <x:c r="J5" s="1"/>
      <x:c r="K5" s="1"/>
      <x:c r="L5" s="1"/>
      <x:c r="M5" s="1"/>
      <x:c r="N5" s="1"/>
      <x:c r="O5" s="1"/>
      <x:c r="P5" s="1"/>
    </x:row>
    <x:row r="6" ht="64" customHeight="1">
      <x:c r="A6" s="1"/>
      <x:c r="B6" s="8" t="str">
        <x:v>Linha</x:v>
      </x:c>
      <x:c r="C6" s="8" t="str">
        <x:v>Descrição original</x:v>
      </x:c>
      <x:c r="D6" s="8" t="str">
        <x:v>Quantidade</x:v>
      </x:c>
      <x:c r="E6" s="8" t="str">
        <x:v>Unitário BRL</x:v>
      </x:c>
      <x:c r="F6" s="8" t="str">
        <x:v>Total BRL</x:v>
      </x:c>
      <x:c r="G6" s="8" t="str">
        <x:v>Parcela inicial</x:v>
      </x:c>
      <x:c r="H6" s="8" t="str">
        <x:v>Total USD recebido</x:v>
      </x:c>
      <x:c r="I6" s="8" t="str">
        <x:v>Status da fonte</x:v>
      </x:c>
      <x:c r="J6" s="1"/>
      <x:c r="K6" s="1"/>
      <x:c r="L6" s="1"/>
      <x:c r="M6" s="1"/>
      <x:c r="N6" s="1"/>
      <x:c r="O6" s="1"/>
      <x:c r="P6" s="1"/>
    </x:row>
    <x:row r="7" ht="44" customHeight="1">
      <x:c r="A7" s="1"/>
      <x:c r="B7" s="1" t="n">
        <x:v>4</x:v>
      </x:c>
      <x:c r="C7" s="10" t="str">
        <x:v>piscina 25 m</x:v>
      </x:c>
      <x:c r="D7" s="1" t="n">
        <x:v>1</x:v>
      </x:c>
      <x:c r="E7" s="14" t="n">
        <x:v>1800000</x:v>
      </x:c>
      <x:c r="F7" s="14" t="n">
        <x:v>1800000</x:v>
      </x:c>
      <x:c r="G7" s="15" t="n">
        <x:v>1</x:v>
      </x:c>
      <x:c r="H7" s="14" t="n">
        <x:v>333333.33</x:v>
      </x:c>
      <x:c r="I7" s="1" t="str">
        <x:v>Sem cotação anexada</x:v>
      </x:c>
      <x:c r="J7" s="1"/>
      <x:c r="K7" s="1"/>
      <x:c r="L7" s="1"/>
      <x:c r="M7" s="1"/>
      <x:c r="N7" s="1"/>
      <x:c r="O7" s="1"/>
      <x:c r="P7" s="1"/>
    </x:row>
    <x:row r="8" ht="44" customHeight="1">
      <x:c r="A8" s="1"/>
      <x:c r="B8" s="1" t="n">
        <x:v>5</x:v>
      </x:c>
      <x:c r="C8" s="10" t="str">
        <x:v>Complexo de piscinas — 4 módulos financeiros a conciliar</x:v>
      </x:c>
      <x:c r="D8" s="1" t="n">
        <x:v>4</x:v>
      </x:c>
      <x:c r="E8" s="14" t="n">
        <x:v>1800000</x:v>
      </x:c>
      <x:c r="F8" s="14" t="n">
        <x:v>7200000</x:v>
      </x:c>
      <x:c r="G8" s="15" t="n">
        <x:v>0.5</x:v>
      </x:c>
      <x:c r="H8" s="14" t="n">
        <x:v>1333333.33</x:v>
      </x:c>
      <x:c r="I8" s="1" t="str">
        <x:v>Sem cotação anexada</x:v>
      </x:c>
      <x:c r="J8" s="1"/>
      <x:c r="K8" s="1"/>
      <x:c r="L8" s="1"/>
      <x:c r="M8" s="1"/>
      <x:c r="N8" s="1"/>
      <x:c r="O8" s="1"/>
      <x:c r="P8" s="1"/>
    </x:row>
    <x:row r="9" ht="44" customHeight="1">
      <x:c r="A9" s="1"/>
      <x:c r="B9" s="1" t="n">
        <x:v>6</x:v>
      </x:c>
      <x:c r="C9" s="10" t="str">
        <x:v>Campo de futebol</x:v>
      </x:c>
      <x:c r="D9" s="1" t="n">
        <x:v>1</x:v>
      </x:c>
      <x:c r="E9" s="14" t="n">
        <x:v>3500000</x:v>
      </x:c>
      <x:c r="F9" s="14" t="n">
        <x:v>3500000</x:v>
      </x:c>
      <x:c r="G9" s="15" t="n">
        <x:v>0.5</x:v>
      </x:c>
      <x:c r="H9" s="14" t="n">
        <x:v>648148.15</x:v>
      </x:c>
      <x:c r="I9" s="1" t="str">
        <x:v>F05 parcial</x:v>
      </x:c>
      <x:c r="J9" s="1"/>
      <x:c r="K9" s="1"/>
      <x:c r="L9" s="1"/>
      <x:c r="M9" s="1"/>
      <x:c r="N9" s="1"/>
      <x:c r="O9" s="1"/>
      <x:c r="P9" s="1"/>
    </x:row>
    <x:row r="10" ht="44" customHeight="1">
      <x:c r="A10" s="1"/>
      <x:c r="B10" s="1" t="n">
        <x:v>7</x:v>
      </x:c>
      <x:c r="C10" s="10" t="str">
        <x:v>2 vestiarios</x:v>
      </x:c>
      <x:c r="D10" s="1" t="n">
        <x:v>2</x:v>
      </x:c>
      <x:c r="E10" s="14" t="n">
        <x:v>950000</x:v>
      </x:c>
      <x:c r="F10" s="14" t="n">
        <x:v>1900000</x:v>
      </x:c>
      <x:c r="G10" s="15" t="n">
        <x:v>0.5</x:v>
      </x:c>
      <x:c r="H10" s="14" t="n">
        <x:v>351851.85</x:v>
      </x:c>
      <x:c r="I10" s="1" t="str">
        <x:v>Sem cotação anexada</x:v>
      </x:c>
      <x:c r="J10" s="1"/>
      <x:c r="K10" s="1"/>
      <x:c r="L10" s="1"/>
      <x:c r="M10" s="1"/>
      <x:c r="N10" s="1"/>
      <x:c r="O10" s="1"/>
      <x:c r="P10" s="1"/>
    </x:row>
    <x:row r="11" ht="44" customHeight="1">
      <x:c r="A11" s="1"/>
      <x:c r="B11" s="1" t="n">
        <x:v>8</x:v>
      </x:c>
      <x:c r="C11" s="10" t="str">
        <x:v>3 quadra de tenis saibro com alambrado</x:v>
      </x:c>
      <x:c r="D11" s="1" t="n">
        <x:v>3</x:v>
      </x:c>
      <x:c r="E11" s="14" t="n">
        <x:v>1200000</x:v>
      </x:c>
      <x:c r="F11" s="14" t="n">
        <x:v>3600000</x:v>
      </x:c>
      <x:c r="G11" s="15" t="n">
        <x:v>1</x:v>
      </x:c>
      <x:c r="H11" s="14" t="n">
        <x:v>666666.67</x:v>
      </x:c>
      <x:c r="I11" s="1" t="str">
        <x:v>Sem cotação anexada</x:v>
      </x:c>
      <x:c r="J11" s="1"/>
      <x:c r="K11" s="1"/>
      <x:c r="L11" s="1"/>
      <x:c r="M11" s="1"/>
      <x:c r="N11" s="1"/>
      <x:c r="O11" s="1"/>
      <x:c r="P11" s="1"/>
    </x:row>
    <x:row r="12" ht="44" customHeight="1">
      <x:c r="A12" s="1"/>
      <x:c r="B12" s="1" t="n">
        <x:v>9</x:v>
      </x:c>
      <x:c r="C12" s="10" t="str">
        <x:v>quadras de aeria</x:v>
      </x:c>
      <x:c r="D12" s="1" t="n">
        <x:v>2</x:v>
      </x:c>
      <x:c r="E12" s="14" t="n">
        <x:v>800000</x:v>
      </x:c>
      <x:c r="F12" s="14" t="n">
        <x:v>1600000</x:v>
      </x:c>
      <x:c r="G12" s="15" t="n">
        <x:v>1</x:v>
      </x:c>
      <x:c r="H12" s="14" t="n">
        <x:v>296296.3</x:v>
      </x:c>
      <x:c r="I12" s="1" t="str">
        <x:v>Sem cotação anexada</x:v>
      </x:c>
      <x:c r="J12" s="1"/>
      <x:c r="K12" s="1"/>
      <x:c r="L12" s="1"/>
      <x:c r="M12" s="1"/>
      <x:c r="N12" s="1"/>
      <x:c r="O12" s="1"/>
      <x:c r="P12" s="1"/>
    </x:row>
    <x:row r="13" ht="44" customHeight="1">
      <x:c r="A13" s="1"/>
      <x:c r="B13" s="1" t="n">
        <x:v>10</x:v>
      </x:c>
      <x:c r="C13" s="10" t="str">
        <x:v>1 restaurantge tope equipado 150 pessoas</x:v>
      </x:c>
      <x:c r="D13" s="1" t="n">
        <x:v>1</x:v>
      </x:c>
      <x:c r="E13" s="14" t="n">
        <x:v>3000000</x:v>
      </x:c>
      <x:c r="F13" s="14" t="n">
        <x:v>3000000</x:v>
      </x:c>
      <x:c r="G13" s="15" t="n">
        <x:v>0.55</x:v>
      </x:c>
      <x:c r="H13" s="14" t="n">
        <x:v>555555.56</x:v>
      </x:c>
      <x:c r="I13" s="1" t="str">
        <x:v>Sem cotação anexada</x:v>
      </x:c>
      <x:c r="J13" s="1"/>
      <x:c r="K13" s="1"/>
      <x:c r="L13" s="1"/>
      <x:c r="M13" s="1"/>
      <x:c r="N13" s="1"/>
      <x:c r="O13" s="1"/>
      <x:c r="P13" s="1"/>
    </x:row>
    <x:row r="14" ht="44" customHeight="1">
      <x:c r="A14" s="1"/>
      <x:c r="B14" s="1" t="n">
        <x:v>11</x:v>
      </x:c>
      <x:c r="C14" s="10" t="str">
        <x:v>1 restaurante  do lago para 60 pessoas</x:v>
      </x:c>
      <x:c r="D14" s="1" t="n">
        <x:v>1</x:v>
      </x:c>
      <x:c r="E14" s="14" t="n">
        <x:v>1700000</x:v>
      </x:c>
      <x:c r="F14" s="14" t="n">
        <x:v>1700000</x:v>
      </x:c>
      <x:c r="G14" s="15" t="n">
        <x:v>1</x:v>
      </x:c>
      <x:c r="H14" s="14" t="n">
        <x:v>314814.81</x:v>
      </x:c>
      <x:c r="I14" s="1" t="str">
        <x:v>Sem cotação anexada</x:v>
      </x:c>
      <x:c r="J14" s="1"/>
      <x:c r="K14" s="1"/>
      <x:c r="L14" s="1"/>
      <x:c r="M14" s="1"/>
      <x:c r="N14" s="1"/>
      <x:c r="O14" s="1"/>
      <x:c r="P14" s="1"/>
    </x:row>
    <x:row r="15" ht="44" customHeight="1">
      <x:c r="A15" s="1"/>
      <x:c r="B15" s="1" t="n">
        <x:v>12</x:v>
      </x:c>
      <x:c r="C15" s="10" t="str">
        <x:v>1 igreja</x:v>
      </x:c>
      <x:c r="D15" s="1" t="n">
        <x:v>1</x:v>
      </x:c>
      <x:c r="E15" s="14" t="n">
        <x:v>650000</x:v>
      </x:c>
      <x:c r="F15" s="14" t="n">
        <x:v>650000</x:v>
      </x:c>
      <x:c r="G15" s="15" t="n">
        <x:v>0.5</x:v>
      </x:c>
      <x:c r="H15" s="14" t="n">
        <x:v>120370.37</x:v>
      </x:c>
      <x:c r="I15" s="1" t="str">
        <x:v>Sem cotação anexada</x:v>
      </x:c>
      <x:c r="J15" s="1"/>
      <x:c r="K15" s="1"/>
      <x:c r="L15" s="1"/>
      <x:c r="M15" s="1"/>
      <x:c r="N15" s="1"/>
      <x:c r="O15" s="1"/>
      <x:c r="P15" s="1"/>
    </x:row>
    <x:row r="16" ht="44" customHeight="1">
      <x:c r="A16" s="1"/>
      <x:c r="B16" s="1" t="n">
        <x:v>13</x:v>
      </x:c>
      <x:c r="C16" s="10" t="str">
        <x:v>4 espelhos d'água de 75 m² (área a confirmar)</x:v>
      </x:c>
      <x:c r="D16" s="1" t="n">
        <x:v>4</x:v>
      </x:c>
      <x:c r="E16" s="14" t="n">
        <x:v>350000</x:v>
      </x:c>
      <x:c r="F16" s="14" t="n">
        <x:v>1400000</x:v>
      </x:c>
      <x:c r="G16" s="15" t="n">
        <x:v>1</x:v>
      </x:c>
      <x:c r="H16" s="14" t="n">
        <x:v>259259.26</x:v>
      </x:c>
      <x:c r="I16" s="1" t="str">
        <x:v>F03/F08 parciais</x:v>
      </x:c>
      <x:c r="J16" s="1"/>
      <x:c r="K16" s="1"/>
      <x:c r="L16" s="1"/>
      <x:c r="M16" s="1"/>
      <x:c r="N16" s="1"/>
      <x:c r="O16" s="1"/>
      <x:c r="P16" s="1"/>
    </x:row>
    <x:row r="17" ht="44" customHeight="1">
      <x:c r="A17" s="1"/>
      <x:c r="B17" s="1" t="n">
        <x:v>14</x:v>
      </x:c>
      <x:c r="C17" s="10" t="str">
        <x:v>4 centro de conveniencia de 90m2</x:v>
      </x:c>
      <x:c r="D17" s="1" t="n">
        <x:v>4</x:v>
      </x:c>
      <x:c r="E17" s="14" t="n">
        <x:v>1500000</x:v>
      </x:c>
      <x:c r="F17" s="14" t="n">
        <x:v>6000000</x:v>
      </x:c>
      <x:c r="G17" s="15" t="n">
        <x:v>0.25</x:v>
      </x:c>
      <x:c r="H17" s="14" t="n">
        <x:v>1111111.11</x:v>
      </x:c>
      <x:c r="I17" s="1" t="str">
        <x:v>Sem cotação anexada</x:v>
      </x:c>
      <x:c r="J17" s="1"/>
      <x:c r="K17" s="1"/>
      <x:c r="L17" s="1"/>
      <x:c r="M17" s="1"/>
      <x:c r="N17" s="1"/>
      <x:c r="O17" s="1"/>
      <x:c r="P17" s="1"/>
    </x:row>
    <x:row r="18" ht="44" customHeight="1">
      <x:c r="A18" s="1"/>
      <x:c r="B18" s="1" t="n">
        <x:v>15</x:v>
      </x:c>
      <x:c r="C18" s="10" t="str">
        <x:v>2 bar molhado na piscina</x:v>
      </x:c>
      <x:c r="D18" s="1" t="n">
        <x:v>2</x:v>
      </x:c>
      <x:c r="E18" s="14" t="n">
        <x:v>800000</x:v>
      </x:c>
      <x:c r="F18" s="14" t="n">
        <x:v>1600000</x:v>
      </x:c>
      <x:c r="G18" s="15" t="n">
        <x:v>0.5</x:v>
      </x:c>
      <x:c r="H18" s="14" t="n">
        <x:v>296296.3</x:v>
      </x:c>
      <x:c r="I18" s="1" t="str">
        <x:v>Sem cotação anexada</x:v>
      </x:c>
      <x:c r="J18" s="1"/>
      <x:c r="K18" s="1"/>
      <x:c r="L18" s="1"/>
      <x:c r="M18" s="1"/>
      <x:c r="N18" s="1"/>
      <x:c r="O18" s="1"/>
      <x:c r="P18" s="1"/>
    </x:row>
    <x:row r="19" ht="44" customHeight="1">
      <x:c r="A19" s="1"/>
      <x:c r="B19" s="1" t="n">
        <x:v>16</x:v>
      </x:c>
      <x:c r="C19" s="10" t="str">
        <x:v>1 academia para 80 pessoas</x:v>
      </x:c>
      <x:c r="D19" s="1" t="n">
        <x:v>1</x:v>
      </x:c>
      <x:c r="E19" s="14" t="n">
        <x:v>2800000</x:v>
      </x:c>
      <x:c r="F19" s="14" t="n">
        <x:v>2800000</x:v>
      </x:c>
      <x:c r="G19" s="15" t="n">
        <x:v>1</x:v>
      </x:c>
      <x:c r="H19" s="14" t="n">
        <x:v>518518.52</x:v>
      </x:c>
      <x:c r="I19" s="1" t="str">
        <x:v>Sem cotação anexada</x:v>
      </x:c>
      <x:c r="J19" s="1"/>
      <x:c r="K19" s="1"/>
      <x:c r="L19" s="1"/>
      <x:c r="M19" s="1"/>
      <x:c r="N19" s="1"/>
      <x:c r="O19" s="1"/>
      <x:c r="P19" s="1"/>
    </x:row>
    <x:row r="20" ht="44" customHeight="1">
      <x:c r="A20" s="1"/>
      <x:c r="B20" s="1" t="n">
        <x:v>17</x:v>
      </x:c>
      <x:c r="C20" s="10" t="str">
        <x:v>2 saloes de jogos</x:v>
      </x:c>
      <x:c r="D20" s="1" t="n">
        <x:v>2</x:v>
      </x:c>
      <x:c r="E20" s="14" t="n">
        <x:v>1200000</x:v>
      </x:c>
      <x:c r="F20" s="14" t="n">
        <x:v>2400000</x:v>
      </x:c>
      <x:c r="G20" s="15" t="n">
        <x:v>0.5</x:v>
      </x:c>
      <x:c r="H20" s="14" t="n">
        <x:v>444444.44</x:v>
      </x:c>
      <x:c r="I20" s="1" t="str">
        <x:v>Sem cotação anexada</x:v>
      </x:c>
      <x:c r="J20" s="1"/>
      <x:c r="K20" s="1"/>
      <x:c r="L20" s="1"/>
      <x:c r="M20" s="1"/>
      <x:c r="N20" s="1"/>
      <x:c r="O20" s="1"/>
      <x:c r="P20" s="1"/>
    </x:row>
    <x:row r="21" ht="44" customHeight="1">
      <x:c r="A21" s="1"/>
      <x:c r="B21" s="1" t="n">
        <x:v>18</x:v>
      </x:c>
      <x:c r="C21" s="10" t="str">
        <x:v>2 lagos principais, 19.000 m² totais (a confirmar)</x:v>
      </x:c>
      <x:c r="D21" s="1" t="n">
        <x:v>2</x:v>
      </x:c>
      <x:c r="E21" s="14" t="n">
        <x:v>20000000</x:v>
      </x:c>
      <x:c r="F21" s="14" t="n">
        <x:v>40000000</x:v>
      </x:c>
      <x:c r="G21" s="15" t="n">
        <x:v>0.5</x:v>
      </x:c>
      <x:c r="H21" s="14" t="n">
        <x:v>7407407.41</x:v>
      </x:c>
      <x:c r="I21" s="1" t="str">
        <x:v>F03/F08/F09 parciais</x:v>
      </x:c>
      <x:c r="J21" s="1"/>
      <x:c r="K21" s="1"/>
      <x:c r="L21" s="1"/>
      <x:c r="M21" s="1"/>
      <x:c r="N21" s="1"/>
      <x:c r="O21" s="1"/>
      <x:c r="P21" s="1"/>
    </x:row>
    <x:row r="22" ht="44" customHeight="1">
      <x:c r="A22" s="1"/>
      <x:c r="B22" s="1" t="n">
        <x:v>19</x:v>
      </x:c>
      <x:c r="C22" s="10" t="str">
        <x:v>espaço de ervas e tempeiros</x:v>
      </x:c>
      <x:c r="D22" s="1" t="n">
        <x:v>1</x:v>
      </x:c>
      <x:c r="E22" s="14" t="n">
        <x:v>300000</x:v>
      </x:c>
      <x:c r="F22" s="14" t="n">
        <x:v>300000</x:v>
      </x:c>
      <x:c r="G22" s="15" t="n">
        <x:v>1</x:v>
      </x:c>
      <x:c r="H22" s="14" t="n">
        <x:v>55555.56</x:v>
      </x:c>
      <x:c r="I22" s="1" t="str">
        <x:v>Sem cotação anexada</x:v>
      </x:c>
      <x:c r="J22" s="1"/>
      <x:c r="K22" s="1"/>
      <x:c r="L22" s="1"/>
      <x:c r="M22" s="1"/>
      <x:c r="N22" s="1"/>
      <x:c r="O22" s="1"/>
      <x:c r="P22" s="1"/>
    </x:row>
    <x:row r="23" ht="44" customHeight="1">
      <x:c r="A23" s="1"/>
      <x:c r="B23" s="1" t="n">
        <x:v>20</x:v>
      </x:c>
      <x:c r="C23" s="10" t="str">
        <x:v>1 auditorio </x:v>
      </x:c>
      <x:c r="D23" s="1" t="n">
        <x:v>1</x:v>
      </x:c>
      <x:c r="E23" s="14" t="n">
        <x:v>1200000</x:v>
      </x:c>
      <x:c r="F23" s="14" t="n">
        <x:v>1200000</x:v>
      </x:c>
      <x:c r="G23" s="15" t="n">
        <x:v>0.5</x:v>
      </x:c>
      <x:c r="H23" s="14" t="n">
        <x:v>222222.22</x:v>
      </x:c>
      <x:c r="I23" s="1" t="str">
        <x:v>Sem cotação anexada</x:v>
      </x:c>
      <x:c r="J23" s="1"/>
      <x:c r="K23" s="1"/>
      <x:c r="L23" s="1"/>
      <x:c r="M23" s="1"/>
      <x:c r="N23" s="1"/>
      <x:c r="O23" s="1"/>
      <x:c r="P23" s="1"/>
    </x:row>
    <x:row r="24" ht="44" customHeight="1">
      <x:c r="A24" s="1"/>
      <x:c r="B24" s="1" t="n">
        <x:v>21</x:v>
      </x:c>
      <x:c r="C24" s="10" t="str">
        <x:v>Vias em bloquetes — 10 km hipotéticos</x:v>
      </x:c>
      <x:c r="D24" s="1" t="n">
        <x:v>1</x:v>
      </x:c>
      <x:c r="E24" s="14" t="n">
        <x:v>25000000</x:v>
      </x:c>
      <x:c r="F24" s="14" t="n">
        <x:v>25000000</x:v>
      </x:c>
      <x:c r="G24" s="15" t="n">
        <x:v>1</x:v>
      </x:c>
      <x:c r="H24" s="14" t="n">
        <x:v>4629629.63</x:v>
      </x:c>
      <x:c r="I24" s="1" t="str">
        <x:v>F01 comparável</x:v>
      </x:c>
      <x:c r="J24" s="1"/>
      <x:c r="K24" s="1"/>
      <x:c r="L24" s="1"/>
      <x:c r="M24" s="1"/>
      <x:c r="N24" s="1"/>
      <x:c r="O24" s="1"/>
      <x:c r="P24" s="1"/>
    </x:row>
    <x:row r="25" ht="44" customHeight="1">
      <x:c r="A25" s="1"/>
      <x:c r="B25" s="1" t="n">
        <x:v>22</x:v>
      </x:c>
      <x:c r="C25" s="10" t="str">
        <x:v>rede de água 10 km</x:v>
      </x:c>
      <x:c r="D25" s="1" t="n">
        <x:v>1</x:v>
      </x:c>
      <x:c r="E25" s="14" t="n">
        <x:v>8722222.222222222</x:v>
      </x:c>
      <x:c r="F25" s="14" t="n">
        <x:v>8722222.22</x:v>
      </x:c>
      <x:c r="G25" s="15" t="n">
        <x:v>1</x:v>
      </x:c>
      <x:c r="H25" s="14" t="n">
        <x:v>1615226.34</x:v>
      </x:c>
      <x:c r="I25" s="1" t="str">
        <x:v>F18 parcial</x:v>
      </x:c>
      <x:c r="J25" s="1"/>
      <x:c r="K25" s="1"/>
      <x:c r="L25" s="1"/>
      <x:c r="M25" s="1"/>
      <x:c r="N25" s="1"/>
      <x:c r="O25" s="1"/>
      <x:c r="P25" s="1"/>
    </x:row>
    <x:row r="26" ht="44" customHeight="1">
      <x:c r="A26" s="1"/>
      <x:c r="B26" s="1" t="n">
        <x:v>23</x:v>
      </x:c>
      <x:c r="C26" s="10" t="str">
        <x:v>rede eltrica subterrania 10 km</x:v>
      </x:c>
      <x:c r="D26" s="1" t="n">
        <x:v>1</x:v>
      </x:c>
      <x:c r="E26" s="14" t="n">
        <x:v>4444444.444444444</x:v>
      </x:c>
      <x:c r="F26" s="14" t="n">
        <x:v>4444444.44</x:v>
      </x:c>
      <x:c r="G26" s="15" t="n">
        <x:v>1</x:v>
      </x:c>
      <x:c r="H26" s="14" t="n">
        <x:v>823045.27</x:v>
      </x:c>
      <x:c r="I26" s="1" t="str">
        <x:v>F19 parcial (alternativa)</x:v>
      </x:c>
      <x:c r="J26" s="1"/>
      <x:c r="K26" s="1"/>
      <x:c r="L26" s="1"/>
      <x:c r="M26" s="1"/>
      <x:c r="N26" s="1"/>
      <x:c r="O26" s="1"/>
      <x:c r="P26" s="1"/>
    </x:row>
    <x:row r="27" ht="44" customHeight="1">
      <x:c r="A27" s="1"/>
      <x:c r="B27" s="1" t="n">
        <x:v>24</x:v>
      </x:c>
      <x:c r="C27" s="10" t="str">
        <x:v>fibra otica 10 km</x:v>
      </x:c>
      <x:c r="D27" s="1" t="n">
        <x:v>1</x:v>
      </x:c>
      <x:c r="E27" s="14" t="n">
        <x:v>444444.44444444444</x:v>
      </x:c>
      <x:c r="F27" s="14" t="n">
        <x:v>444444.44</x:v>
      </x:c>
      <x:c r="G27" s="15" t="n">
        <x:v>1</x:v>
      </x:c>
      <x:c r="H27" s="14" t="n">
        <x:v>82304.53</x:v>
      </x:c>
      <x:c r="I27" s="1" t="str">
        <x:v>Sem preço equivalente</x:v>
      </x:c>
      <x:c r="J27" s="1"/>
      <x:c r="K27" s="1"/>
      <x:c r="L27" s="1"/>
      <x:c r="M27" s="1"/>
      <x:c r="N27" s="1"/>
      <x:c r="O27" s="1"/>
      <x:c r="P27" s="1"/>
    </x:row>
    <x:row r="28" ht="44" customHeight="1">
      <x:c r="A28" s="1"/>
      <x:c r="B28" s="1" t="n">
        <x:v>25</x:v>
      </x:c>
      <x:c r="C28" s="10" t="str">
        <x:v>Paisagismo — escopo exclusivo confirmado</x:v>
      </x:c>
      <x:c r="D28" s="1" t="n">
        <x:v>1</x:v>
      </x:c>
      <x:c r="E28" s="14" t="n">
        <x:v>45000000</x:v>
      </x:c>
      <x:c r="F28" s="14" t="n">
        <x:v>45000000</x:v>
      </x:c>
      <x:c r="G28" s="15" t="n">
        <x:v>0.5</x:v>
      </x:c>
      <x:c r="H28" s="14" t="n">
        <x:v>8333333.33</x:v>
      </x:c>
      <x:c r="I28" s="1" t="str">
        <x:v>Escopo confirmado pela proponente</x:v>
      </x:c>
      <x:c r="J28" s="1"/>
      <x:c r="K28" s="1"/>
      <x:c r="L28" s="1"/>
      <x:c r="M28" s="1"/>
      <x:c r="N28" s="1"/>
      <x:c r="O28" s="1"/>
      <x:c r="P28" s="1"/>
    </x:row>
    <x:row r="29" ht="44" customHeight="1">
      <x:c r="A29" s="1"/>
      <x:c r="B29" s="1" t="n">
        <x:v>26</x:v>
      </x:c>
      <x:c r="C29" s="10" t="str">
        <x:v>licenças do residencial</x:v>
      </x:c>
      <x:c r="D29" s="1" t="n">
        <x:v>1</x:v>
      </x:c>
      <x:c r="E29" s="14" t="n">
        <x:v>4000000</x:v>
      </x:c>
      <x:c r="F29" s="14" t="n">
        <x:v>4000000</x:v>
      </x:c>
      <x:c r="G29" s="15" t="n">
        <x:v>1</x:v>
      </x:c>
      <x:c r="H29" s="14" t="n">
        <x:v>740740.74</x:v>
      </x:c>
      <x:c r="I29" s="1" t="str">
        <x:v>F10 fórmula legal</x:v>
      </x:c>
      <x:c r="J29" s="1"/>
      <x:c r="K29" s="1"/>
      <x:c r="L29" s="1"/>
      <x:c r="M29" s="1"/>
      <x:c r="N29" s="1"/>
      <x:c r="O29" s="1"/>
      <x:c r="P29" s="1"/>
    </x:row>
    <x:row r="30" ht="44" customHeight="1">
      <x:c r="A30" s="1"/>
      <x:c r="B30" s="1" t="n">
        <x:v>27</x:v>
      </x:c>
      <x:c r="C30" s="10" t="str">
        <x:v>1 centro operacional de 150 m2</x:v>
      </x:c>
      <x:c r="D30" s="1" t="n">
        <x:v>1</x:v>
      </x:c>
      <x:c r="E30" s="14" t="n">
        <x:v>1350000</x:v>
      </x:c>
      <x:c r="F30" s="14" t="n">
        <x:v>1350000</x:v>
      </x:c>
      <x:c r="G30" s="15" t="n">
        <x:v>1</x:v>
      </x:c>
      <x:c r="H30" s="14" t="n">
        <x:v>250000</x:v>
      </x:c>
      <x:c r="I30" s="1" t="str">
        <x:v>Sem cotação anexada</x:v>
      </x:c>
      <x:c r="J30" s="1"/>
      <x:c r="K30" s="1"/>
      <x:c r="L30" s="1"/>
      <x:c r="M30" s="1"/>
      <x:c r="N30" s="1"/>
      <x:c r="O30" s="1"/>
      <x:c r="P30" s="1"/>
    </x:row>
    <x:row r="31" ht="44" customHeight="1">
      <x:c r="A31" s="1"/>
      <x:c r="B31" s="1" t="n">
        <x:v>28</x:v>
      </x:c>
      <x:c r="C31" s="10" t="str">
        <x:v>1 portaria</x:v>
      </x:c>
      <x:c r="D31" s="1" t="n">
        <x:v>1</x:v>
      </x:c>
      <x:c r="E31" s="14" t="n">
        <x:v>1100000</x:v>
      </x:c>
      <x:c r="F31" s="14" t="n">
        <x:v>1100000</x:v>
      </x:c>
      <x:c r="G31" s="15" t="n">
        <x:v>1</x:v>
      </x:c>
      <x:c r="H31" s="14" t="n">
        <x:v>203703.7</x:v>
      </x:c>
      <x:c r="I31" s="1" t="str">
        <x:v>Sem cotação anexada</x:v>
      </x:c>
      <x:c r="J31" s="1"/>
      <x:c r="K31" s="1"/>
      <x:c r="L31" s="1"/>
      <x:c r="M31" s="1"/>
      <x:c r="N31" s="1"/>
      <x:c r="O31" s="1"/>
      <x:c r="P31" s="1"/>
    </x:row>
    <x:row r="32" ht="44" customHeight="1">
      <x:c r="A32" s="1"/>
      <x:c r="B32" s="1" t="n">
        <x:v>29</x:v>
      </x:c>
      <x:c r="C32" s="10" t="str">
        <x:v>10 km tubulação par energia e fibra otica</x:v>
      </x:c>
      <x:c r="D32" s="1" t="n">
        <x:v>1</x:v>
      </x:c>
      <x:c r="E32" s="14" t="n">
        <x:v>10000000</x:v>
      </x:c>
      <x:c r="F32" s="14" t="n">
        <x:v>10000000</x:v>
      </x:c>
      <x:c r="G32" s="15" t="n">
        <x:v>0.5</x:v>
      </x:c>
      <x:c r="H32" s="14" t="n">
        <x:v>1851851.85</x:v>
      </x:c>
      <x:c r="I32" s="1" t="str">
        <x:v>F20/F22/F23 parciais</x:v>
      </x:c>
      <x:c r="J32" s="1"/>
      <x:c r="K32" s="1"/>
      <x:c r="L32" s="1"/>
      <x:c r="M32" s="1"/>
      <x:c r="N32" s="1"/>
      <x:c r="O32" s="1"/>
      <x:c r="P32" s="1"/>
    </x:row>
    <x:row r="33" ht="44" customHeight="1">
      <x:c r="A33" s="1"/>
      <x:c r="B33" s="1" t="n">
        <x:v>30</x:v>
      </x:c>
      <x:c r="C33" s="10" t="str">
        <x:v>Despesas administrativas — verba fixa; percentual a validar</x:v>
      </x:c>
      <x:c r="D33" s="1"/>
      <x:c r="E33" s="14"/>
      <x:c r="F33" s="14" t="n">
        <x:v>5000000</x:v>
      </x:c>
      <x:c r="G33" s="15" t="n">
        <x:v>0.5</x:v>
      </x:c>
      <x:c r="H33" s="14" t="n">
        <x:v>925925.93</x:v>
      </x:c>
      <x:c r="I33" s="1" t="str">
        <x:v>Verba fixa recebida</x:v>
      </x:c>
      <x:c r="J33" s="1"/>
      <x:c r="K33" s="1"/>
      <x:c r="L33" s="1"/>
      <x:c r="M33" s="1"/>
      <x:c r="N33" s="1"/>
      <x:c r="O33" s="1"/>
      <x:c r="P33" s="1"/>
    </x:row>
    <x:row r="34" ht="44" customHeight="1">
      <x:c r="A34" s="1"/>
      <x:c r="B34" s="1" t="n">
        <x:v>31</x:v>
      </x:c>
      <x:c r="C34" s="10" t="str">
        <x:v>Reserva de custo — verba fixa; percentual a validar</x:v>
      </x:c>
      <x:c r="D34" s="1"/>
      <x:c r="E34" s="14"/>
      <x:c r="F34" s="14" t="n">
        <x:v>4570000</x:v>
      </x:c>
      <x:c r="G34" s="15" t="n">
        <x:v>0.5</x:v>
      </x:c>
      <x:c r="H34" s="14" t="n">
        <x:v>846296.3</x:v>
      </x:c>
      <x:c r="I34" s="1" t="str">
        <x:v>Reserva fixa recebida</x:v>
      </x:c>
      <x:c r="J34" s="1"/>
      <x:c r="K34" s="1"/>
      <x:c r="L34" s="1"/>
      <x:c r="M34" s="1"/>
      <x:c r="N34" s="1"/>
      <x:c r="O34" s="1"/>
      <x:c r="P34" s="1"/>
    </x:row>
    <x:row r="35" ht="23" customHeight="1">
      <x:c r="A35" s="1"/>
      <x:c r="B35" s="1"/>
      <x:c r="C35" s="1"/>
      <x:c r="D35" s="1"/>
      <x:c r="E35" s="1"/>
      <x:c r="F35" s="1"/>
      <x:c r="G35" s="1"/>
      <x:c r="H35" s="1"/>
      <x:c r="I35" s="1"/>
      <x:c r="J35" s="1"/>
      <x:c r="K35" s="1"/>
      <x:c r="L35" s="1"/>
      <x:c r="M35" s="1"/>
      <x:c r="N35" s="1"/>
      <x:c r="O35" s="1"/>
      <x:c r="P35" s="1"/>
    </x:row>
    <x:row r="36" ht="23" customHeight="1">
      <x:c r="A36" s="1"/>
      <x:c r="B36" s="1"/>
      <x:c r="C36" s="1"/>
      <x:c r="D36" s="1"/>
      <x:c r="E36" s="1"/>
      <x:c r="F36" s="1"/>
      <x:c r="G36" s="1"/>
      <x:c r="H36" s="1"/>
      <x:c r="I36" s="1"/>
      <x:c r="J36" s="1"/>
      <x:c r="K36" s="1"/>
      <x:c r="L36" s="1"/>
      <x:c r="M36" s="1"/>
      <x:c r="N36" s="1"/>
      <x:c r="O36" s="1"/>
      <x:c r="P36" s="1"/>
    </x:row>
    <x:row r="37" ht="23" customHeight="1">
      <x:c r="A37" s="1"/>
      <x:c r="B37" s="1"/>
      <x:c r="C37" s="1" t="str">
        <x:v>Valores originais preservados para consulta. Reservas e subtotais da fonte não são acrescentados ao capital confirmado.</x:v>
      </x:c>
      <x:c r="D37" s="1"/>
      <x:c r="E37" s="1"/>
      <x:c r="F37" s="1"/>
      <x:c r="G37" s="1"/>
      <x:c r="H37" s="1"/>
      <x:c r="I37" s="1"/>
      <x:c r="J37" s="1"/>
      <x:c r="K37" s="1"/>
      <x:c r="L37" s="1"/>
      <x:c r="M37" s="1"/>
      <x:c r="N37" s="1"/>
      <x:c r="O37" s="1"/>
      <x:c r="P37" s="1"/>
    </x:row>
    <x:row r="38" ht="23" customHeight="1">
      <x:c r="A38" s="1"/>
      <x:c r="B38" s="1"/>
      <x:c r="C38" s="1"/>
      <x:c r="D38" s="1"/>
      <x:c r="E38" s="1"/>
      <x:c r="F38" s="1"/>
      <x:c r="G38" s="1"/>
      <x:c r="H38" s="1"/>
      <x:c r="I38" s="1"/>
      <x:c r="J38" s="1"/>
      <x:c r="K38" s="1"/>
      <x:c r="L38" s="1"/>
      <x:c r="M38" s="1"/>
      <x:c r="N38" s="1"/>
      <x:c r="O38" s="1"/>
      <x:c r="P38" s="1"/>
    </x:row>
    <x:row r="39" ht="23" customHeight="1">
      <x:c r="A39" s="1"/>
      <x:c r="B39" s="1"/>
      <x:c r="C39" s="1"/>
      <x:c r="D39" s="1"/>
      <x:c r="E39" s="1"/>
      <x:c r="F39" s="1"/>
      <x:c r="G39" s="1"/>
      <x:c r="H39" s="1"/>
      <x:c r="I39" s="1"/>
      <x:c r="J39" s="1"/>
      <x:c r="K39" s="1"/>
      <x:c r="L39" s="1"/>
      <x:c r="M39" s="1"/>
      <x:c r="N39" s="1"/>
      <x:c r="O39" s="1"/>
      <x:c r="P39" s="1"/>
    </x:row>
    <x:row r="40" ht="23" customHeight="1">
      <x:c r="A40" s="1"/>
      <x:c r="B40" s="1"/>
      <x:c r="C40" s="1"/>
      <x:c r="D40" s="1"/>
      <x:c r="E40" s="1"/>
      <x:c r="F40" s="1"/>
      <x:c r="G40" s="1"/>
      <x:c r="H40" s="1"/>
      <x:c r="I40" s="1"/>
      <x:c r="J40" s="1"/>
      <x:c r="K40" s="1"/>
      <x:c r="L40" s="1"/>
      <x:c r="M40" s="1"/>
      <x:c r="N40" s="1"/>
      <x:c r="O40" s="1"/>
      <x:c r="P40" s="1"/>
    </x:row>
    <x:row r="41" ht="23" customHeight="1">
      <x:c r="A41" s="1"/>
      <x:c r="B41" s="1"/>
      <x:c r="C41" s="1"/>
      <x:c r="D41" s="1"/>
      <x:c r="E41" s="1"/>
      <x:c r="F41" s="1"/>
      <x:c r="G41" s="1"/>
      <x:c r="H41" s="1"/>
      <x:c r="I41" s="1"/>
      <x:c r="J41" s="1"/>
      <x:c r="K41" s="1"/>
      <x:c r="L41" s="1"/>
      <x:c r="M41" s="1"/>
      <x:c r="N41" s="1"/>
      <x:c r="O41" s="1"/>
      <x:c r="P41" s="1"/>
    </x:row>
    <x:row r="42" ht="23" customHeight="1">
      <x:c r="A42" s="1"/>
      <x:c r="B42" s="1"/>
      <x:c r="C42" s="1"/>
      <x:c r="D42" s="1"/>
      <x:c r="E42" s="1"/>
      <x:c r="F42" s="1"/>
      <x:c r="G42" s="1"/>
      <x:c r="H42" s="1"/>
      <x:c r="I42" s="1"/>
      <x:c r="J42" s="1"/>
      <x:c r="K42" s="1"/>
      <x:c r="L42" s="1"/>
      <x:c r="M42" s="1"/>
      <x:c r="N42" s="1"/>
      <x:c r="O42" s="1"/>
      <x:c r="P42" s="1"/>
    </x:row>
    <x:row r="43" ht="23" customHeight="1">
      <x:c r="A43" s="1"/>
      <x:c r="B43" s="1"/>
      <x:c r="C43" s="1"/>
      <x:c r="D43" s="1"/>
      <x:c r="E43" s="1"/>
      <x:c r="F43" s="1"/>
      <x:c r="G43" s="1"/>
      <x:c r="H43" s="1"/>
      <x:c r="I43" s="1"/>
      <x:c r="J43" s="1"/>
      <x:c r="K43" s="1"/>
      <x:c r="L43" s="1"/>
      <x:c r="M43" s="1"/>
      <x:c r="N43" s="1"/>
      <x:c r="O43" s="1"/>
      <x:c r="P43" s="1"/>
    </x:row>
    <x:row r="44" ht="23" customHeight="1">
      <x:c r="A44" s="1"/>
      <x:c r="B44" s="1"/>
      <x:c r="C44" s="1"/>
      <x:c r="D44" s="1"/>
      <x:c r="E44" s="1"/>
      <x:c r="F44" s="1"/>
      <x:c r="G44" s="1"/>
      <x:c r="H44" s="1"/>
      <x:c r="I44" s="1"/>
      <x:c r="J44" s="1"/>
      <x:c r="K44" s="1"/>
      <x:c r="L44" s="1"/>
      <x:c r="M44" s="1"/>
      <x:c r="N44" s="1"/>
      <x:c r="O44" s="1"/>
      <x:c r="P44" s="1"/>
    </x:row>
    <x:row r="45" ht="23" customHeight="1">
      <x:c r="A45" s="1"/>
      <x:c r="B45" s="1"/>
      <x:c r="C45" s="1"/>
      <x:c r="D45" s="1"/>
      <x:c r="E45" s="1"/>
      <x:c r="F45" s="1"/>
      <x:c r="G45" s="1"/>
      <x:c r="H45" s="1"/>
      <x:c r="I45" s="1"/>
      <x:c r="J45" s="1"/>
      <x:c r="K45" s="1"/>
      <x:c r="L45" s="1"/>
      <x:c r="M45" s="1"/>
      <x:c r="N45" s="1"/>
      <x:c r="O45" s="1"/>
      <x:c r="P45" s="1"/>
    </x:row>
    <x:row r="46" ht="23" customHeight="1">
      <x:c r="A46" s="1"/>
      <x:c r="B46" s="1"/>
      <x:c r="C46" s="1"/>
      <x:c r="D46" s="1"/>
      <x:c r="E46" s="1"/>
      <x:c r="F46" s="1"/>
      <x:c r="G46" s="1"/>
      <x:c r="H46" s="1"/>
      <x:c r="I46" s="1"/>
      <x:c r="J46" s="1"/>
      <x:c r="K46" s="1"/>
      <x:c r="L46" s="1"/>
      <x:c r="M46" s="1"/>
      <x:c r="N46" s="1"/>
      <x:c r="O46" s="1"/>
      <x:c r="P46" s="1"/>
    </x:row>
    <x:row r="47" ht="23" customHeight="1">
      <x:c r="A47" s="1"/>
      <x:c r="B47" s="1"/>
      <x:c r="C47" s="1"/>
      <x:c r="D47" s="1"/>
      <x:c r="E47" s="1"/>
      <x:c r="F47" s="1"/>
      <x:c r="G47" s="1"/>
      <x:c r="H47" s="1"/>
      <x:c r="I47" s="1"/>
      <x:c r="J47" s="1"/>
      <x:c r="K47" s="1"/>
      <x:c r="L47" s="1"/>
      <x:c r="M47" s="1"/>
      <x:c r="N47" s="1"/>
      <x:c r="O47" s="1"/>
      <x:c r="P47" s="1"/>
    </x:row>
    <x:row r="48" ht="23" customHeight="1">
      <x:c r="A48" s="1"/>
      <x:c r="B48" s="1"/>
      <x:c r="C48" s="1"/>
      <x:c r="D48" s="1"/>
      <x:c r="E48" s="1"/>
      <x:c r="F48" s="1"/>
      <x:c r="G48" s="1"/>
      <x:c r="H48" s="1"/>
      <x:c r="I48" s="1"/>
      <x:c r="J48" s="1"/>
      <x:c r="K48" s="1"/>
      <x:c r="L48" s="1"/>
      <x:c r="M48" s="1"/>
      <x:c r="N48" s="1"/>
      <x:c r="O48" s="1"/>
      <x:c r="P48" s="1"/>
    </x:row>
    <x:row r="49" ht="23" customHeight="1">
      <x:c r="A49" s="1"/>
      <x:c r="B49" s="1"/>
      <x:c r="C49" s="1"/>
      <x:c r="D49" s="1"/>
      <x:c r="E49" s="1"/>
      <x:c r="F49" s="1"/>
      <x:c r="G49" s="1"/>
      <x:c r="H49" s="1"/>
      <x:c r="I49" s="1"/>
      <x:c r="J49" s="1"/>
      <x:c r="K49" s="1"/>
      <x:c r="L49" s="1"/>
      <x:c r="M49" s="1"/>
      <x:c r="N49" s="1"/>
      <x:c r="O49" s="1"/>
      <x:c r="P49" s="1"/>
    </x:row>
    <x:row r="50" ht="23" customHeight="1">
      <x:c r="A50" s="1"/>
      <x:c r="B50" s="1"/>
      <x:c r="C50" s="1"/>
      <x:c r="D50" s="1"/>
      <x:c r="E50" s="1"/>
      <x:c r="F50" s="1"/>
      <x:c r="G50" s="1"/>
      <x:c r="H50" s="1"/>
      <x:c r="I50" s="1"/>
      <x:c r="J50" s="1"/>
      <x:c r="K50" s="1"/>
      <x:c r="L50" s="1"/>
      <x:c r="M50" s="1"/>
      <x:c r="N50" s="1"/>
      <x:c r="O50" s="1"/>
      <x:c r="P50" s="1"/>
    </x:row>
    <x:row r="51" ht="23" customHeight="1">
      <x:c r="A51" s="1"/>
      <x:c r="B51" s="1"/>
      <x:c r="C51" s="1"/>
      <x:c r="D51" s="1"/>
      <x:c r="E51" s="1"/>
      <x:c r="F51" s="1"/>
      <x:c r="G51" s="1"/>
      <x:c r="H51" s="1"/>
      <x:c r="I51" s="1"/>
      <x:c r="J51" s="1"/>
      <x:c r="K51" s="1"/>
      <x:c r="L51" s="1"/>
      <x:c r="M51" s="1"/>
      <x:c r="N51" s="1"/>
      <x:c r="O51" s="1"/>
      <x:c r="P51" s="1"/>
    </x:row>
    <x:row r="52" ht="23" customHeight="1">
      <x:c r="A52" s="1"/>
      <x:c r="B52" s="1"/>
      <x:c r="C52" s="1"/>
      <x:c r="D52" s="1"/>
      <x:c r="E52" s="1"/>
      <x:c r="F52" s="1"/>
      <x:c r="G52" s="1"/>
      <x:c r="H52" s="1"/>
      <x:c r="I52" s="1"/>
      <x:c r="J52" s="1"/>
      <x:c r="K52" s="1"/>
      <x:c r="L52" s="1"/>
      <x:c r="M52" s="1"/>
      <x:c r="N52" s="1"/>
      <x:c r="O52" s="1"/>
      <x:c r="P52" s="1"/>
    </x:row>
    <x:row r="53" ht="23" customHeight="1">
      <x:c r="A53" s="1"/>
      <x:c r="B53" s="1"/>
      <x:c r="C53" s="1"/>
      <x:c r="D53" s="1"/>
      <x:c r="E53" s="1"/>
      <x:c r="F53" s="1"/>
      <x:c r="G53" s="1"/>
      <x:c r="H53" s="1"/>
      <x:c r="I53" s="1"/>
      <x:c r="J53" s="1"/>
      <x:c r="K53" s="1"/>
      <x:c r="L53" s="1"/>
      <x:c r="M53" s="1"/>
      <x:c r="N53" s="1"/>
      <x:c r="O53" s="1"/>
      <x:c r="P53" s="1"/>
    </x:row>
    <x:row r="54" ht="23" customHeight="1">
      <x:c r="A54" s="1"/>
      <x:c r="B54" s="1"/>
      <x:c r="C54" s="1"/>
      <x:c r="D54" s="1"/>
      <x:c r="E54" s="1"/>
      <x:c r="F54" s="1"/>
      <x:c r="G54" s="1"/>
      <x:c r="H54" s="1"/>
      <x:c r="I54" s="1"/>
      <x:c r="J54" s="1"/>
      <x:c r="K54" s="1"/>
      <x:c r="L54" s="1"/>
      <x:c r="M54" s="1"/>
      <x:c r="N54" s="1"/>
      <x:c r="O54" s="1"/>
      <x:c r="P54" s="1"/>
    </x:row>
    <x:row r="55" ht="23" customHeight="1">
      <x:c r="A55" s="1"/>
      <x:c r="B55" s="1"/>
      <x:c r="C55" s="1"/>
      <x:c r="D55" s="1"/>
      <x:c r="E55" s="1"/>
      <x:c r="F55" s="1"/>
      <x:c r="G55" s="1"/>
      <x:c r="H55" s="1"/>
      <x:c r="I55" s="1"/>
      <x:c r="J55" s="1"/>
      <x:c r="K55" s="1"/>
      <x:c r="L55" s="1"/>
      <x:c r="M55" s="1"/>
      <x:c r="N55" s="1"/>
      <x:c r="O55" s="1"/>
      <x:c r="P55" s="1"/>
    </x:row>
    <x:row r="56" ht="23" customHeight="1">
      <x:c r="A56" s="1"/>
      <x:c r="B56" s="1"/>
      <x:c r="C56" s="1"/>
      <x:c r="D56" s="1"/>
      <x:c r="E56" s="1"/>
      <x:c r="F56" s="1"/>
      <x:c r="G56" s="1"/>
      <x:c r="H56" s="1"/>
      <x:c r="I56" s="1"/>
      <x:c r="J56" s="1"/>
      <x:c r="K56" s="1"/>
      <x:c r="L56" s="1"/>
      <x:c r="M56" s="1"/>
      <x:c r="N56" s="1"/>
      <x:c r="O56" s="1"/>
      <x:c r="P56" s="1"/>
    </x:row>
    <x:row r="57" ht="23" customHeight="1">
      <x:c r="A57" s="1"/>
      <x:c r="B57" s="1"/>
      <x:c r="C57" s="1"/>
      <x:c r="D57" s="1"/>
      <x:c r="E57" s="1"/>
      <x:c r="F57" s="1"/>
      <x:c r="G57" s="1"/>
      <x:c r="H57" s="1"/>
      <x:c r="I57" s="1"/>
      <x:c r="J57" s="1"/>
      <x:c r="K57" s="1"/>
      <x:c r="L57" s="1"/>
      <x:c r="M57" s="1"/>
      <x:c r="N57" s="1"/>
      <x:c r="O57" s="1"/>
      <x:c r="P57" s="1"/>
    </x:row>
    <x:row r="58" ht="23" customHeight="1">
      <x:c r="A58" s="1"/>
      <x:c r="B58" s="1"/>
      <x:c r="C58" s="1"/>
      <x:c r="D58" s="1"/>
      <x:c r="E58" s="1"/>
      <x:c r="F58" s="1"/>
      <x:c r="G58" s="1"/>
      <x:c r="H58" s="1"/>
      <x:c r="I58" s="1"/>
      <x:c r="J58" s="1"/>
      <x:c r="K58" s="1"/>
      <x:c r="L58" s="1"/>
      <x:c r="M58" s="1"/>
      <x:c r="N58" s="1"/>
      <x:c r="O58" s="1"/>
      <x:c r="P58" s="1"/>
    </x:row>
    <x:row r="59" ht="23" customHeight="1">
      <x:c r="A59" s="1"/>
      <x:c r="B59" s="1"/>
      <x:c r="C59" s="1"/>
      <x:c r="D59" s="1"/>
      <x:c r="E59" s="1"/>
      <x:c r="F59" s="1"/>
      <x:c r="G59" s="1"/>
      <x:c r="H59" s="1"/>
      <x:c r="I59" s="1"/>
      <x:c r="J59" s="1"/>
      <x:c r="K59" s="1"/>
      <x:c r="L59" s="1"/>
      <x:c r="M59" s="1"/>
      <x:c r="N59" s="1"/>
      <x:c r="O59" s="1"/>
      <x:c r="P59" s="1"/>
    </x:row>
    <x:row r="60" ht="23" customHeight="1">
      <x:c r="A60" s="1"/>
      <x:c r="B60" s="1"/>
      <x:c r="C60" s="1"/>
      <x:c r="D60" s="1"/>
      <x:c r="E60" s="1"/>
      <x:c r="F60" s="1"/>
      <x:c r="G60" s="1"/>
      <x:c r="H60" s="1"/>
      <x:c r="I60" s="1"/>
      <x:c r="J60" s="1"/>
      <x:c r="K60" s="1"/>
      <x:c r="L60" s="1"/>
      <x:c r="M60" s="1"/>
      <x:c r="N60" s="1"/>
      <x:c r="O60" s="1"/>
      <x:c r="P60" s="1"/>
    </x:row>
    <x:row r="61" ht="23" customHeight="1">
      <x:c r="A61" s="1"/>
      <x:c r="B61" s="1"/>
      <x:c r="C61" s="1"/>
      <x:c r="D61" s="1"/>
      <x:c r="E61" s="1"/>
      <x:c r="F61" s="1"/>
      <x:c r="G61" s="1"/>
      <x:c r="H61" s="1"/>
      <x:c r="I61" s="1"/>
      <x:c r="J61" s="1"/>
      <x:c r="K61" s="1"/>
      <x:c r="L61" s="1"/>
      <x:c r="M61" s="1"/>
      <x:c r="N61" s="1"/>
      <x:c r="O61" s="1"/>
      <x:c r="P61" s="1"/>
    </x:row>
    <x:row r="62" ht="23" customHeight="1">
      <x:c r="A62" s="1"/>
      <x:c r="B62" s="1"/>
      <x:c r="C62" s="1"/>
      <x:c r="D62" s="1"/>
      <x:c r="E62" s="1"/>
      <x:c r="F62" s="1"/>
      <x:c r="G62" s="1"/>
      <x:c r="H62" s="1"/>
      <x:c r="I62" s="1"/>
      <x:c r="J62" s="1"/>
      <x:c r="K62" s="1"/>
      <x:c r="L62" s="1"/>
      <x:c r="M62" s="1"/>
      <x:c r="N62" s="1"/>
      <x:c r="O62" s="1"/>
      <x:c r="P62" s="1"/>
    </x:row>
    <x:row r="63" ht="23" customHeight="1">
      <x:c r="A63" s="1"/>
      <x:c r="B63" s="1"/>
      <x:c r="C63" s="1"/>
      <x:c r="D63" s="1"/>
      <x:c r="E63" s="1"/>
      <x:c r="F63" s="1"/>
      <x:c r="G63" s="1"/>
      <x:c r="H63" s="1"/>
      <x:c r="I63" s="1"/>
      <x:c r="J63" s="1"/>
      <x:c r="K63" s="1"/>
      <x:c r="L63" s="1"/>
      <x:c r="M63" s="1"/>
      <x:c r="N63" s="1"/>
      <x:c r="O63" s="1"/>
      <x:c r="P63" s="1"/>
    </x:row>
    <x:row r="64" ht="23" customHeight="1">
      <x:c r="A64" s="1"/>
      <x:c r="B64" s="1"/>
      <x:c r="C64" s="1"/>
      <x:c r="D64" s="1"/>
      <x:c r="E64" s="1"/>
      <x:c r="F64" s="1"/>
      <x:c r="G64" s="1"/>
      <x:c r="H64" s="1"/>
      <x:c r="I64" s="1"/>
      <x:c r="J64" s="1"/>
      <x:c r="K64" s="1"/>
      <x:c r="L64" s="1"/>
      <x:c r="M64" s="1"/>
      <x:c r="N64" s="1"/>
      <x:c r="O64" s="1"/>
      <x:c r="P64" s="1"/>
    </x:row>
    <x:row r="65" ht="23" customHeight="1">
      <x:c r="A65" s="1"/>
      <x:c r="B65" s="1"/>
      <x:c r="C65" s="1"/>
      <x:c r="D65" s="1"/>
      <x:c r="E65" s="1"/>
      <x:c r="F65" s="1"/>
      <x:c r="G65" s="1"/>
      <x:c r="H65" s="1"/>
      <x:c r="I65" s="1"/>
      <x:c r="J65" s="1"/>
      <x:c r="K65" s="1"/>
      <x:c r="L65" s="1"/>
      <x:c r="M65" s="1"/>
      <x:c r="N65" s="1"/>
      <x:c r="O65" s="1"/>
      <x:c r="P65" s="1"/>
    </x:row>
    <x:row r="66" ht="23" customHeight="1">
      <x:c r="A66" s="1"/>
      <x:c r="B66" s="1"/>
      <x:c r="C66" s="1"/>
      <x:c r="D66" s="1"/>
      <x:c r="E66" s="1"/>
      <x:c r="F66" s="1"/>
      <x:c r="G66" s="1"/>
      <x:c r="H66" s="1"/>
      <x:c r="I66" s="1"/>
      <x:c r="J66" s="1"/>
      <x:c r="K66" s="1"/>
      <x:c r="L66" s="1"/>
      <x:c r="M66" s="1"/>
      <x:c r="N66" s="1"/>
      <x:c r="O66" s="1"/>
      <x:c r="P66" s="1"/>
    </x:row>
    <x:row r="67" ht="23" customHeight="1">
      <x:c r="A67" s="1"/>
      <x:c r="B67" s="1"/>
      <x:c r="C67" s="1"/>
      <x:c r="D67" s="1"/>
      <x:c r="E67" s="1"/>
      <x:c r="F67" s="1"/>
      <x:c r="G67" s="1"/>
      <x:c r="H67" s="1"/>
      <x:c r="I67" s="1"/>
      <x:c r="J67" s="1"/>
      <x:c r="K67" s="1"/>
      <x:c r="L67" s="1"/>
      <x:c r="M67" s="1"/>
      <x:c r="N67" s="1"/>
      <x:c r="O67" s="1"/>
      <x:c r="P67" s="1"/>
    </x:row>
    <x:row r="68" ht="23" customHeight="1">
      <x:c r="A68" s="1"/>
      <x:c r="B68" s="1"/>
      <x:c r="C68" s="1"/>
      <x:c r="D68" s="1"/>
      <x:c r="E68" s="1"/>
      <x:c r="F68" s="1"/>
      <x:c r="G68" s="1"/>
      <x:c r="H68" s="1"/>
      <x:c r="I68" s="1"/>
      <x:c r="J68" s="1"/>
      <x:c r="K68" s="1"/>
      <x:c r="L68" s="1"/>
      <x:c r="M68" s="1"/>
      <x:c r="N68" s="1"/>
      <x:c r="O68" s="1"/>
      <x:c r="P68" s="1"/>
    </x:row>
    <x:row r="69" ht="23" customHeight="1">
      <x:c r="A69" s="1"/>
      <x:c r="B69" s="1"/>
      <x:c r="C69" s="1"/>
      <x:c r="D69" s="1"/>
      <x:c r="E69" s="1"/>
      <x:c r="F69" s="1"/>
      <x:c r="G69" s="1"/>
      <x:c r="H69" s="1"/>
      <x:c r="I69" s="1"/>
      <x:c r="J69" s="1"/>
      <x:c r="K69" s="1"/>
      <x:c r="L69" s="1"/>
      <x:c r="M69" s="1"/>
      <x:c r="N69" s="1"/>
      <x:c r="O69" s="1"/>
      <x:c r="P69" s="1"/>
    </x:row>
    <x:row r="70" ht="23" customHeight="1">
      <x:c r="A70" s="1"/>
      <x:c r="B70" s="1"/>
      <x:c r="C70" s="1"/>
      <x:c r="D70" s="1"/>
      <x:c r="E70" s="1"/>
      <x:c r="F70" s="1"/>
      <x:c r="G70" s="1"/>
      <x:c r="H70" s="1"/>
      <x:c r="I70" s="1"/>
      <x:c r="J70" s="1"/>
      <x:c r="K70" s="1"/>
      <x:c r="L70" s="1"/>
      <x:c r="M70" s="1"/>
      <x:c r="N70" s="1"/>
      <x:c r="O70" s="1"/>
      <x:c r="P70" s="1"/>
    </x:row>
    <x:row r="71" ht="23" customHeight="1">
      <x:c r="A71" s="1"/>
      <x:c r="B71" s="1"/>
      <x:c r="C71" s="1"/>
      <x:c r="D71" s="1"/>
      <x:c r="E71" s="1"/>
      <x:c r="F71" s="1"/>
      <x:c r="G71" s="1"/>
      <x:c r="H71" s="1"/>
      <x:c r="I71" s="1"/>
      <x:c r="J71" s="1"/>
      <x:c r="K71" s="1"/>
      <x:c r="L71" s="1"/>
      <x:c r="M71" s="1"/>
      <x:c r="N71" s="1"/>
      <x:c r="O71" s="1"/>
      <x:c r="P71" s="1"/>
    </x:row>
    <x:row r="72" ht="23" customHeight="1">
      <x:c r="A72" s="1"/>
      <x:c r="B72" s="1"/>
      <x:c r="C72" s="1"/>
      <x:c r="D72" s="1"/>
      <x:c r="E72" s="1"/>
      <x:c r="F72" s="1"/>
      <x:c r="G72" s="1"/>
      <x:c r="H72" s="1"/>
      <x:c r="I72" s="1"/>
      <x:c r="J72" s="1"/>
      <x:c r="K72" s="1"/>
      <x:c r="L72" s="1"/>
      <x:c r="M72" s="1"/>
      <x:c r="N72" s="1"/>
      <x:c r="O72" s="1"/>
      <x:c r="P72" s="1"/>
    </x:row>
    <x:row r="73" ht="23" customHeight="1">
      <x:c r="A73" s="1"/>
      <x:c r="B73" s="1"/>
      <x:c r="C73" s="1"/>
      <x:c r="D73" s="1"/>
      <x:c r="E73" s="1"/>
      <x:c r="F73" s="1"/>
      <x:c r="G73" s="1"/>
      <x:c r="H73" s="1"/>
      <x:c r="I73" s="1"/>
      <x:c r="J73" s="1"/>
      <x:c r="K73" s="1"/>
      <x:c r="L73" s="1"/>
      <x:c r="M73" s="1"/>
      <x:c r="N73" s="1"/>
      <x:c r="O73" s="1"/>
      <x:c r="P73" s="1"/>
    </x:row>
    <x:row r="74" ht="23" customHeight="1">
      <x:c r="A74" s="1"/>
      <x:c r="B74" s="1"/>
      <x:c r="C74" s="1"/>
      <x:c r="D74" s="1"/>
      <x:c r="E74" s="1"/>
      <x:c r="F74" s="1"/>
      <x:c r="G74" s="1"/>
      <x:c r="H74" s="1"/>
      <x:c r="I74" s="1"/>
      <x:c r="J74" s="1"/>
      <x:c r="K74" s="1"/>
      <x:c r="L74" s="1"/>
      <x:c r="M74" s="1"/>
      <x:c r="N74" s="1"/>
      <x:c r="O74" s="1"/>
      <x:c r="P74" s="1"/>
    </x:row>
    <x:row r="75" ht="23" customHeight="1">
      <x:c r="A75" s="1"/>
      <x:c r="B75" s="1"/>
      <x:c r="C75" s="1"/>
      <x:c r="D75" s="1"/>
      <x:c r="E75" s="1"/>
      <x:c r="F75" s="1"/>
      <x:c r="G75" s="1"/>
      <x:c r="H75" s="1"/>
      <x:c r="I75" s="1"/>
      <x:c r="J75" s="1"/>
      <x:c r="K75" s="1"/>
      <x:c r="L75" s="1"/>
      <x:c r="M75" s="1"/>
      <x:c r="N75" s="1"/>
      <x:c r="O75" s="1"/>
      <x:c r="P75" s="1"/>
    </x:row>
    <x:row r="76" ht="23" customHeight="1">
      <x:c r="A76" s="1"/>
      <x:c r="B76" s="1"/>
      <x:c r="C76" s="1"/>
      <x:c r="D76" s="1"/>
      <x:c r="E76" s="1"/>
      <x:c r="F76" s="1"/>
      <x:c r="G76" s="1"/>
      <x:c r="H76" s="1"/>
      <x:c r="I76" s="1"/>
      <x:c r="J76" s="1"/>
      <x:c r="K76" s="1"/>
      <x:c r="L76" s="1"/>
      <x:c r="M76" s="1"/>
      <x:c r="N76" s="1"/>
      <x:c r="O76" s="1"/>
      <x:c r="P76" s="1"/>
    </x:row>
    <x:row r="77" ht="23" customHeight="1">
      <x:c r="A77" s="1"/>
      <x:c r="B77" s="1"/>
      <x:c r="C77" s="1"/>
      <x:c r="D77" s="1"/>
      <x:c r="E77" s="1"/>
      <x:c r="F77" s="1"/>
      <x:c r="G77" s="1"/>
      <x:c r="H77" s="1"/>
      <x:c r="I77" s="1"/>
      <x:c r="J77" s="1"/>
      <x:c r="K77" s="1"/>
      <x:c r="L77" s="1"/>
      <x:c r="M77" s="1"/>
      <x:c r="N77" s="1"/>
      <x:c r="O77" s="1"/>
      <x:c r="P77" s="1"/>
    </x:row>
    <x:row r="78" ht="23" customHeight="1">
      <x:c r="A78" s="1"/>
      <x:c r="B78" s="1"/>
      <x:c r="C78" s="1"/>
      <x:c r="D78" s="1"/>
      <x:c r="E78" s="1"/>
      <x:c r="F78" s="1"/>
      <x:c r="G78" s="1"/>
      <x:c r="H78" s="1"/>
      <x:c r="I78" s="1"/>
      <x:c r="J78" s="1"/>
      <x:c r="K78" s="1"/>
      <x:c r="L78" s="1"/>
      <x:c r="M78" s="1"/>
      <x:c r="N78" s="1"/>
      <x:c r="O78" s="1"/>
      <x:c r="P78" s="1"/>
    </x:row>
    <x:row r="79" ht="23" customHeight="1">
      <x:c r="A79" s="1"/>
      <x:c r="B79" s="1"/>
      <x:c r="C79" s="1"/>
      <x:c r="D79" s="1"/>
      <x:c r="E79" s="1"/>
      <x:c r="F79" s="1"/>
      <x:c r="G79" s="1"/>
      <x:c r="H79" s="1"/>
      <x:c r="I79" s="1"/>
      <x:c r="J79" s="1"/>
      <x:c r="K79" s="1"/>
      <x:c r="L79" s="1"/>
      <x:c r="M79" s="1"/>
      <x:c r="N79" s="1"/>
      <x:c r="O79" s="1"/>
      <x:c r="P79" s="1"/>
    </x:row>
    <x:row r="80" ht="23" customHeight="1">
      <x:c r="A80" s="1"/>
      <x:c r="B80" s="1"/>
      <x:c r="C80" s="1"/>
      <x:c r="D80" s="1"/>
      <x:c r="E80" s="1"/>
      <x:c r="F80" s="1"/>
      <x:c r="G80" s="1"/>
      <x:c r="H80" s="1"/>
      <x:c r="I80" s="1"/>
      <x:c r="J80" s="1"/>
      <x:c r="K80" s="1"/>
      <x:c r="L80" s="1"/>
      <x:c r="M80" s="1"/>
      <x:c r="N80" s="1"/>
      <x:c r="O80" s="1"/>
      <x:c r="P80" s="1"/>
    </x:row>
    <x:row r="81" ht="23" customHeight="1">
      <x:c r="A81" s="1"/>
      <x:c r="B81" s="1"/>
      <x:c r="C81" s="1"/>
      <x:c r="D81" s="1"/>
      <x:c r="E81" s="1"/>
      <x:c r="F81" s="1"/>
      <x:c r="G81" s="1"/>
      <x:c r="H81" s="1"/>
      <x:c r="I81" s="1"/>
      <x:c r="J81" s="1"/>
      <x:c r="K81" s="1"/>
      <x:c r="L81" s="1"/>
      <x:c r="M81" s="1"/>
      <x:c r="N81" s="1"/>
      <x:c r="O81" s="1"/>
      <x:c r="P81" s="1"/>
    </x:row>
    <x:row r="82" ht="23" customHeight="1">
      <x:c r="A82" s="1"/>
      <x:c r="B82" s="1"/>
      <x:c r="C82" s="1"/>
      <x:c r="D82" s="1"/>
      <x:c r="E82" s="1"/>
      <x:c r="F82" s="1"/>
      <x:c r="G82" s="1"/>
      <x:c r="H82" s="1"/>
      <x:c r="I82" s="1"/>
      <x:c r="J82" s="1"/>
      <x:c r="K82" s="1"/>
      <x:c r="L82" s="1"/>
      <x:c r="M82" s="1"/>
      <x:c r="N82" s="1"/>
      <x:c r="O82" s="1"/>
      <x:c r="P82" s="1"/>
    </x:row>
    <x:row r="83" ht="23" customHeight="1">
      <x:c r="A83" s="1"/>
      <x:c r="B83" s="1"/>
      <x:c r="C83" s="1"/>
      <x:c r="D83" s="1"/>
      <x:c r="E83" s="1"/>
      <x:c r="F83" s="1"/>
      <x:c r="G83" s="1"/>
      <x:c r="H83" s="1"/>
      <x:c r="I83" s="1"/>
      <x:c r="J83" s="1"/>
      <x:c r="K83" s="1"/>
      <x:c r="L83" s="1"/>
      <x:c r="M83" s="1"/>
      <x:c r="N83" s="1"/>
      <x:c r="O83" s="1"/>
      <x:c r="P83" s="1"/>
    </x:row>
    <x:row r="84" ht="23" customHeight="1">
      <x:c r="A84" s="1"/>
      <x:c r="B84" s="1"/>
      <x:c r="C84" s="1"/>
      <x:c r="D84" s="1"/>
      <x:c r="E84" s="1"/>
      <x:c r="F84" s="1"/>
      <x:c r="G84" s="1"/>
      <x:c r="H84" s="1"/>
      <x:c r="I84" s="1"/>
      <x:c r="J84" s="1"/>
      <x:c r="K84" s="1"/>
      <x:c r="L84" s="1"/>
      <x:c r="M84" s="1"/>
      <x:c r="N84" s="1"/>
      <x:c r="O84" s="1"/>
      <x:c r="P84" s="1"/>
    </x:row>
    <x:row r="85" ht="23" customHeight="1">
      <x:c r="A85" s="1"/>
      <x:c r="B85" s="1"/>
      <x:c r="C85" s="1"/>
      <x:c r="D85" s="1"/>
      <x:c r="E85" s="1"/>
      <x:c r="F85" s="1"/>
      <x:c r="G85" s="1"/>
      <x:c r="H85" s="1"/>
      <x:c r="I85" s="1"/>
      <x:c r="J85" s="1"/>
      <x:c r="K85" s="1"/>
      <x:c r="L85" s="1"/>
      <x:c r="M85" s="1"/>
      <x:c r="N85" s="1"/>
      <x:c r="O85" s="1"/>
      <x:c r="P85" s="1"/>
    </x:row>
    <x:row r="86" ht="23" customHeight="1">
      <x:c r="A86" s="1"/>
      <x:c r="B86" s="1"/>
      <x:c r="C86" s="1"/>
      <x:c r="D86" s="1"/>
      <x:c r="E86" s="1"/>
      <x:c r="F86" s="1"/>
      <x:c r="G86" s="1"/>
      <x:c r="H86" s="1"/>
      <x:c r="I86" s="1"/>
      <x:c r="J86" s="1"/>
      <x:c r="K86" s="1"/>
      <x:c r="L86" s="1"/>
      <x:c r="M86" s="1"/>
      <x:c r="N86" s="1"/>
      <x:c r="O86" s="1"/>
      <x:c r="P86" s="1"/>
    </x:row>
    <x:row r="87" ht="23" customHeight="1">
      <x:c r="A87" s="1"/>
      <x:c r="B87" s="1"/>
      <x:c r="C87" s="1"/>
      <x:c r="D87" s="1"/>
      <x:c r="E87" s="1"/>
      <x:c r="F87" s="1"/>
      <x:c r="G87" s="1"/>
      <x:c r="H87" s="1"/>
      <x:c r="I87" s="1"/>
      <x:c r="J87" s="1"/>
      <x:c r="K87" s="1"/>
      <x:c r="L87" s="1"/>
      <x:c r="M87" s="1"/>
      <x:c r="N87" s="1"/>
      <x:c r="O87" s="1"/>
      <x:c r="P87" s="1"/>
    </x:row>
    <x:row r="88" ht="23" customHeight="1">
      <x:c r="A88" s="1"/>
      <x:c r="B88" s="1"/>
      <x:c r="C88" s="1"/>
      <x:c r="D88" s="1"/>
      <x:c r="E88" s="1"/>
      <x:c r="F88" s="1"/>
      <x:c r="G88" s="1"/>
      <x:c r="H88" s="1"/>
      <x:c r="I88" s="1"/>
      <x:c r="J88" s="1"/>
      <x:c r="K88" s="1"/>
      <x:c r="L88" s="1"/>
      <x:c r="M88" s="1"/>
      <x:c r="N88" s="1"/>
      <x:c r="O88" s="1"/>
      <x:c r="P88" s="1"/>
    </x:row>
    <x:row r="89" ht="23" customHeight="1">
      <x:c r="A89" s="1"/>
      <x:c r="B89" s="1"/>
      <x:c r="C89" s="1"/>
      <x:c r="D89" s="1"/>
      <x:c r="E89" s="1"/>
      <x:c r="F89" s="1"/>
      <x:c r="G89" s="1"/>
      <x:c r="H89" s="1"/>
      <x:c r="I89" s="1"/>
      <x:c r="J89" s="1"/>
      <x:c r="K89" s="1"/>
      <x:c r="L89" s="1"/>
      <x:c r="M89" s="1"/>
      <x:c r="N89" s="1"/>
      <x:c r="O89" s="1"/>
      <x:c r="P89" s="1"/>
    </x:row>
    <x:row r="90" ht="23" customHeight="1">
      <x:c r="A90" s="1"/>
      <x:c r="B90" s="1"/>
      <x:c r="C90" s="1"/>
      <x:c r="D90" s="1"/>
      <x:c r="E90" s="1"/>
      <x:c r="F90" s="1"/>
      <x:c r="G90" s="1"/>
      <x:c r="H90" s="1"/>
      <x:c r="I90" s="1"/>
      <x:c r="J90" s="1"/>
      <x:c r="K90" s="1"/>
      <x:c r="L90" s="1"/>
      <x:c r="M90" s="1"/>
      <x:c r="N90" s="1"/>
      <x:c r="O90" s="1"/>
      <x:c r="P90" s="1"/>
    </x:row>
    <x:row r="91" ht="23" customHeight="1">
      <x:c r="A91" s="1"/>
      <x:c r="B91" s="1"/>
      <x:c r="C91" s="1"/>
      <x:c r="D91" s="1"/>
      <x:c r="E91" s="1"/>
      <x:c r="F91" s="1"/>
      <x:c r="G91" s="1"/>
      <x:c r="H91" s="1"/>
      <x:c r="I91" s="1"/>
      <x:c r="J91" s="1"/>
      <x:c r="K91" s="1"/>
      <x:c r="L91" s="1"/>
      <x:c r="M91" s="1"/>
      <x:c r="N91" s="1"/>
      <x:c r="O91" s="1"/>
      <x:c r="P91" s="1"/>
    </x:row>
    <x:row r="92" ht="23" customHeight="1">
      <x:c r="A92" s="1"/>
      <x:c r="B92" s="1"/>
      <x:c r="C92" s="1"/>
      <x:c r="D92" s="1"/>
      <x:c r="E92" s="1"/>
      <x:c r="F92" s="1"/>
      <x:c r="G92" s="1"/>
      <x:c r="H92" s="1"/>
      <x:c r="I92" s="1"/>
      <x:c r="J92" s="1"/>
      <x:c r="K92" s="1"/>
      <x:c r="L92" s="1"/>
      <x:c r="M92" s="1"/>
      <x:c r="N92" s="1"/>
      <x:c r="O92" s="1"/>
      <x:c r="P92" s="1"/>
    </x:row>
    <x:row r="93" ht="23" customHeight="1">
      <x:c r="A93" s="1"/>
      <x:c r="B93" s="1"/>
      <x:c r="C93" s="1"/>
      <x:c r="D93" s="1"/>
      <x:c r="E93" s="1"/>
      <x:c r="F93" s="1"/>
      <x:c r="G93" s="1"/>
      <x:c r="H93" s="1"/>
      <x:c r="I93" s="1"/>
      <x:c r="J93" s="1"/>
      <x:c r="K93" s="1"/>
      <x:c r="L93" s="1"/>
      <x:c r="M93" s="1"/>
      <x:c r="N93" s="1"/>
      <x:c r="O93" s="1"/>
      <x:c r="P93" s="1"/>
    </x:row>
    <x:row r="94" ht="23" customHeight="1">
      <x:c r="A94" s="1"/>
      <x:c r="B94" s="1"/>
      <x:c r="C94" s="1"/>
      <x:c r="D94" s="1"/>
      <x:c r="E94" s="1"/>
      <x:c r="F94" s="1"/>
      <x:c r="G94" s="1"/>
      <x:c r="H94" s="1"/>
      <x:c r="I94" s="1"/>
      <x:c r="J94" s="1"/>
      <x:c r="K94" s="1"/>
      <x:c r="L94" s="1"/>
      <x:c r="M94" s="1"/>
      <x:c r="N94" s="1"/>
      <x:c r="O94" s="1"/>
      <x:c r="P94" s="1"/>
    </x:row>
    <x:row r="95" ht="23" customHeight="1">
      <x:c r="A95" s="1"/>
      <x:c r="B95" s="1"/>
      <x:c r="C95" s="1"/>
      <x:c r="D95" s="1"/>
      <x:c r="E95" s="1"/>
      <x:c r="F95" s="1"/>
      <x:c r="G95" s="1"/>
      <x:c r="H95" s="1"/>
      <x:c r="I95" s="1"/>
      <x:c r="J95" s="1"/>
      <x:c r="K95" s="1"/>
      <x:c r="L95" s="1"/>
      <x:c r="M95" s="1"/>
      <x:c r="N95" s="1"/>
      <x:c r="O95" s="1"/>
      <x:c r="P95" s="1"/>
    </x:row>
    <x:row r="96" ht="23" customHeight="1">
      <x:c r="A96" s="1"/>
      <x:c r="B96" s="1"/>
      <x:c r="C96" s="1"/>
      <x:c r="D96" s="1"/>
      <x:c r="E96" s="1"/>
      <x:c r="F96" s="1"/>
      <x:c r="G96" s="1"/>
      <x:c r="H96" s="1"/>
      <x:c r="I96" s="1"/>
      <x:c r="J96" s="1"/>
      <x:c r="K96" s="1"/>
      <x:c r="L96" s="1"/>
      <x:c r="M96" s="1"/>
      <x:c r="N96" s="1"/>
      <x:c r="O96" s="1"/>
      <x:c r="P96" s="1"/>
    </x:row>
    <x:row r="97" ht="23" customHeight="1">
      <x:c r="A97" s="1"/>
      <x:c r="B97" s="1"/>
      <x:c r="C97" s="1"/>
      <x:c r="D97" s="1"/>
      <x:c r="E97" s="1"/>
      <x:c r="F97" s="1"/>
      <x:c r="G97" s="1"/>
      <x:c r="H97" s="1"/>
      <x:c r="I97" s="1"/>
      <x:c r="J97" s="1"/>
      <x:c r="K97" s="1"/>
      <x:c r="L97" s="1"/>
      <x:c r="M97" s="1"/>
      <x:c r="N97" s="1"/>
      <x:c r="O97" s="1"/>
      <x:c r="P97" s="1"/>
    </x:row>
    <x:row r="98" ht="23" customHeight="1">
      <x:c r="A98" s="1"/>
      <x:c r="B98" s="1"/>
      <x:c r="C98" s="1"/>
      <x:c r="D98" s="1"/>
      <x:c r="E98" s="1"/>
      <x:c r="F98" s="1"/>
      <x:c r="G98" s="1"/>
      <x:c r="H98" s="1"/>
      <x:c r="I98" s="1"/>
      <x:c r="J98" s="1"/>
      <x:c r="K98" s="1"/>
      <x:c r="L98" s="1"/>
      <x:c r="M98" s="1"/>
      <x:c r="N98" s="1"/>
      <x:c r="O98" s="1"/>
      <x:c r="P98" s="1"/>
    </x:row>
    <x:row r="99" ht="23" customHeight="1">
      <x:c r="A99" s="1"/>
      <x:c r="B99" s="1"/>
      <x:c r="C99" s="1"/>
      <x:c r="D99" s="1"/>
      <x:c r="E99" s="1"/>
      <x:c r="F99" s="1"/>
      <x:c r="G99" s="1"/>
      <x:c r="H99" s="1"/>
      <x:c r="I99" s="1"/>
      <x:c r="J99" s="1"/>
      <x:c r="K99" s="1"/>
      <x:c r="L99" s="1"/>
      <x:c r="M99" s="1"/>
      <x:c r="N99" s="1"/>
      <x:c r="O99" s="1"/>
      <x:c r="P99" s="1"/>
    </x:row>
    <x:row r="100" ht="23" customHeight="1">
      <x:c r="A100" s="1"/>
      <x:c r="B100" s="1"/>
      <x:c r="C100" s="1"/>
      <x:c r="D100" s="1"/>
      <x:c r="E100" s="1"/>
      <x:c r="F100" s="1"/>
      <x:c r="G100" s="1"/>
      <x:c r="H100" s="1"/>
      <x:c r="I100" s="1"/>
      <x:c r="J100" s="1"/>
      <x:c r="K100" s="1"/>
      <x:c r="L100" s="1"/>
      <x:c r="M100" s="1"/>
      <x:c r="N100" s="1"/>
      <x:c r="O100" s="1"/>
      <x:c r="P100" s="1"/>
    </x:row>
    <x:row r="101" ht="23" customHeight="1">
      <x:c r="A101" s="1"/>
      <x:c r="B101" s="1"/>
      <x:c r="C101" s="1"/>
      <x:c r="D101" s="1"/>
      <x:c r="E101" s="1"/>
      <x:c r="F101" s="1"/>
      <x:c r="G101" s="1"/>
      <x:c r="H101" s="1"/>
      <x:c r="I101" s="1"/>
      <x:c r="J101" s="1"/>
      <x:c r="K101" s="1"/>
      <x:c r="L101" s="1"/>
      <x:c r="M101" s="1"/>
      <x:c r="N101" s="1"/>
      <x:c r="O101" s="1"/>
      <x:c r="P101" s="1"/>
    </x:row>
    <x:row r="102" ht="23" customHeight="1">
      <x:c r="A102" s="1"/>
      <x:c r="B102" s="1"/>
      <x:c r="C102" s="1"/>
      <x:c r="D102" s="1"/>
      <x:c r="E102" s="1"/>
      <x:c r="F102" s="1"/>
      <x:c r="G102" s="1"/>
      <x:c r="H102" s="1"/>
      <x:c r="I102" s="1"/>
      <x:c r="J102" s="1"/>
      <x:c r="K102" s="1"/>
      <x:c r="L102" s="1"/>
      <x:c r="M102" s="1"/>
      <x:c r="N102" s="1"/>
      <x:c r="O102" s="1"/>
      <x:c r="P102" s="1"/>
    </x:row>
    <x:row r="103" ht="23" customHeight="1">
      <x:c r="A103" s="1"/>
      <x:c r="B103" s="1"/>
      <x:c r="C103" s="1"/>
      <x:c r="D103" s="1"/>
      <x:c r="E103" s="1"/>
      <x:c r="F103" s="1"/>
      <x:c r="G103" s="1"/>
      <x:c r="H103" s="1"/>
      <x:c r="I103" s="1"/>
      <x:c r="J103" s="1"/>
      <x:c r="K103" s="1"/>
      <x:c r="L103" s="1"/>
      <x:c r="M103" s="1"/>
      <x:c r="N103" s="1"/>
      <x:c r="O103" s="1"/>
      <x:c r="P103" s="1"/>
    </x:row>
    <x:row r="104" ht="23" customHeight="1">
      <x:c r="A104" s="1"/>
      <x:c r="B104" s="1"/>
      <x:c r="C104" s="1"/>
      <x:c r="D104" s="1"/>
      <x:c r="E104" s="1"/>
      <x:c r="F104" s="1"/>
      <x:c r="G104" s="1"/>
      <x:c r="H104" s="1"/>
      <x:c r="I104" s="1"/>
      <x:c r="J104" s="1"/>
      <x:c r="K104" s="1"/>
      <x:c r="L104" s="1"/>
      <x:c r="M104" s="1"/>
      <x:c r="N104" s="1"/>
      <x:c r="O104" s="1"/>
      <x:c r="P104" s="1"/>
    </x:row>
    <x:row r="105" ht="23" customHeight="1">
      <x:c r="A105" s="1"/>
      <x:c r="B105" s="1"/>
      <x:c r="C105" s="1"/>
      <x:c r="D105" s="1"/>
      <x:c r="E105" s="1"/>
      <x:c r="F105" s="1"/>
      <x:c r="G105" s="1"/>
      <x:c r="H105" s="1"/>
      <x:c r="I105" s="1"/>
      <x:c r="J105" s="1"/>
      <x:c r="K105" s="1"/>
      <x:c r="L105" s="1"/>
      <x:c r="M105" s="1"/>
      <x:c r="N105" s="1"/>
      <x:c r="O105" s="1"/>
      <x:c r="P105" s="1"/>
    </x:row>
    <x:row r="106" ht="23" customHeight="1">
      <x:c r="A106" s="1"/>
      <x:c r="B106" s="1"/>
      <x:c r="C106" s="1"/>
      <x:c r="D106" s="1"/>
      <x:c r="E106" s="1"/>
      <x:c r="F106" s="1"/>
      <x:c r="G106" s="1"/>
      <x:c r="H106" s="1"/>
      <x:c r="I106" s="1"/>
      <x:c r="J106" s="1"/>
      <x:c r="K106" s="1"/>
      <x:c r="L106" s="1"/>
      <x:c r="M106" s="1"/>
      <x:c r="N106" s="1"/>
      <x:c r="O106" s="1"/>
      <x:c r="P106" s="1"/>
    </x:row>
    <x:row r="107" ht="23" customHeight="1">
      <x:c r="A107" s="1"/>
      <x:c r="B107" s="1"/>
      <x:c r="C107" s="1"/>
      <x:c r="D107" s="1"/>
      <x:c r="E107" s="1"/>
      <x:c r="F107" s="1"/>
      <x:c r="G107" s="1"/>
      <x:c r="H107" s="1"/>
      <x:c r="I107" s="1"/>
      <x:c r="J107" s="1"/>
      <x:c r="K107" s="1"/>
      <x:c r="L107" s="1"/>
      <x:c r="M107" s="1"/>
      <x:c r="N107" s="1"/>
      <x:c r="O107" s="1"/>
      <x:c r="P107" s="1"/>
    </x:row>
    <x:row r="108" ht="23" customHeight="1">
      <x:c r="A108" s="1"/>
      <x:c r="B108" s="1"/>
      <x:c r="C108" s="1"/>
      <x:c r="D108" s="1"/>
      <x:c r="E108" s="1"/>
      <x:c r="F108" s="1"/>
      <x:c r="G108" s="1"/>
      <x:c r="H108" s="1"/>
      <x:c r="I108" s="1"/>
      <x:c r="J108" s="1"/>
      <x:c r="K108" s="1"/>
      <x:c r="L108" s="1"/>
      <x:c r="M108" s="1"/>
      <x:c r="N108" s="1"/>
      <x:c r="O108" s="1"/>
      <x:c r="P108" s="1"/>
    </x:row>
    <x:row r="109" ht="23" customHeight="1">
      <x:c r="A109" s="1"/>
      <x:c r="B109" s="1"/>
      <x:c r="C109" s="1"/>
      <x:c r="D109" s="1"/>
      <x:c r="E109" s="1"/>
      <x:c r="F109" s="1"/>
      <x:c r="G109" s="1"/>
      <x:c r="H109" s="1"/>
      <x:c r="I109" s="1"/>
      <x:c r="J109" s="1"/>
      <x:c r="K109" s="1"/>
      <x:c r="L109" s="1"/>
      <x:c r="M109" s="1"/>
      <x:c r="N109" s="1"/>
      <x:c r="O109" s="1"/>
      <x:c r="P109" s="1"/>
    </x:row>
    <x:row r="110" ht="23" customHeight="1">
      <x:c r="A110" s="1"/>
      <x:c r="B110" s="1"/>
      <x:c r="C110" s="1"/>
      <x:c r="D110" s="1"/>
      <x:c r="E110" s="1"/>
      <x:c r="F110" s="1"/>
      <x:c r="G110" s="1"/>
      <x:c r="H110" s="1"/>
      <x:c r="I110" s="1"/>
      <x:c r="J110" s="1"/>
      <x:c r="K110" s="1"/>
      <x:c r="L110" s="1"/>
      <x:c r="M110" s="1"/>
      <x:c r="N110" s="1"/>
      <x:c r="O110" s="1"/>
      <x:c r="P110" s="1"/>
    </x:row>
    <x:row r="111" ht="23" customHeight="1">
      <x:c r="A111" s="1"/>
      <x:c r="B111" s="1"/>
      <x:c r="C111" s="1"/>
      <x:c r="D111" s="1"/>
      <x:c r="E111" s="1"/>
      <x:c r="F111" s="1"/>
      <x:c r="G111" s="1"/>
      <x:c r="H111" s="1"/>
      <x:c r="I111" s="1"/>
      <x:c r="J111" s="1"/>
      <x:c r="K111" s="1"/>
      <x:c r="L111" s="1"/>
      <x:c r="M111" s="1"/>
      <x:c r="N111" s="1"/>
      <x:c r="O111" s="1"/>
      <x:c r="P111" s="1"/>
    </x:row>
    <x:row r="112" ht="23" customHeight="1">
      <x:c r="A112" s="1"/>
      <x:c r="B112" s="1"/>
      <x:c r="C112" s="1"/>
      <x:c r="D112" s="1"/>
      <x:c r="E112" s="1"/>
      <x:c r="F112" s="1"/>
      <x:c r="G112" s="1"/>
      <x:c r="H112" s="1"/>
      <x:c r="I112" s="1"/>
      <x:c r="J112" s="1"/>
      <x:c r="K112" s="1"/>
      <x:c r="L112" s="1"/>
      <x:c r="M112" s="1"/>
      <x:c r="N112" s="1"/>
      <x:c r="O112" s="1"/>
      <x:c r="P112" s="1"/>
    </x:row>
    <x:row r="113" ht="23" customHeight="1">
      <x:c r="A113" s="1"/>
      <x:c r="B113" s="1"/>
      <x:c r="C113" s="1"/>
      <x:c r="D113" s="1"/>
      <x:c r="E113" s="1"/>
      <x:c r="F113" s="1"/>
      <x:c r="G113" s="1"/>
      <x:c r="H113" s="1"/>
      <x:c r="I113" s="1"/>
      <x:c r="J113" s="1"/>
      <x:c r="K113" s="1"/>
      <x:c r="L113" s="1"/>
      <x:c r="M113" s="1"/>
      <x:c r="N113" s="1"/>
      <x:c r="O113" s="1"/>
      <x:c r="P113" s="1"/>
    </x:row>
    <x:row r="114" ht="23" customHeight="1">
      <x:c r="A114" s="1"/>
      <x:c r="B114" s="1"/>
      <x:c r="C114" s="1"/>
      <x:c r="D114" s="1"/>
      <x:c r="E114" s="1"/>
      <x:c r="F114" s="1"/>
      <x:c r="G114" s="1"/>
      <x:c r="H114" s="1"/>
      <x:c r="I114" s="1"/>
      <x:c r="J114" s="1"/>
      <x:c r="K114" s="1"/>
      <x:c r="L114" s="1"/>
      <x:c r="M114" s="1"/>
      <x:c r="N114" s="1"/>
      <x:c r="O114" s="1"/>
      <x:c r="P114" s="1"/>
    </x:row>
    <x:row r="115" ht="23" customHeight="1">
      <x:c r="A115" s="1"/>
      <x:c r="B115" s="1"/>
      <x:c r="C115" s="1"/>
      <x:c r="D115" s="1"/>
      <x:c r="E115" s="1"/>
      <x:c r="F115" s="1"/>
      <x:c r="G115" s="1"/>
      <x:c r="H115" s="1"/>
      <x:c r="I115" s="1"/>
      <x:c r="J115" s="1"/>
      <x:c r="K115" s="1"/>
      <x:c r="L115" s="1"/>
      <x:c r="M115" s="1"/>
      <x:c r="N115" s="1"/>
      <x:c r="O115" s="1"/>
      <x:c r="P115" s="1"/>
    </x:row>
    <x:row r="116" ht="23" customHeight="1">
      <x:c r="A116" s="1"/>
      <x:c r="B116" s="1"/>
      <x:c r="C116" s="1"/>
      <x:c r="D116" s="1"/>
      <x:c r="E116" s="1"/>
      <x:c r="F116" s="1"/>
      <x:c r="G116" s="1"/>
      <x:c r="H116" s="1"/>
      <x:c r="I116" s="1"/>
      <x:c r="J116" s="1"/>
      <x:c r="K116" s="1"/>
      <x:c r="L116" s="1"/>
      <x:c r="M116" s="1"/>
      <x:c r="N116" s="1"/>
      <x:c r="O116" s="1"/>
      <x:c r="P116" s="1"/>
    </x:row>
    <x:row r="117" ht="23" customHeight="1">
      <x:c r="A117" s="1"/>
      <x:c r="B117" s="1"/>
      <x:c r="C117" s="1"/>
      <x:c r="D117" s="1"/>
      <x:c r="E117" s="1"/>
      <x:c r="F117" s="1"/>
      <x:c r="G117" s="1"/>
      <x:c r="H117" s="1"/>
      <x:c r="I117" s="1"/>
      <x:c r="J117" s="1"/>
      <x:c r="K117" s="1"/>
      <x:c r="L117" s="1"/>
      <x:c r="M117" s="1"/>
      <x:c r="N117" s="1"/>
      <x:c r="O117" s="1"/>
      <x:c r="P117" s="1"/>
    </x:row>
    <x:row r="118" ht="23" customHeight="1">
      <x:c r="A118" s="1"/>
      <x:c r="B118" s="1"/>
      <x:c r="C118" s="1"/>
      <x:c r="D118" s="1"/>
      <x:c r="E118" s="1"/>
      <x:c r="F118" s="1"/>
      <x:c r="G118" s="1"/>
      <x:c r="H118" s="1"/>
      <x:c r="I118" s="1"/>
      <x:c r="J118" s="1"/>
      <x:c r="K118" s="1"/>
      <x:c r="L118" s="1"/>
      <x:c r="M118" s="1"/>
      <x:c r="N118" s="1"/>
      <x:c r="O118" s="1"/>
      <x:c r="P118" s="1"/>
    </x:row>
    <x:row r="119" ht="23" customHeight="1">
      <x:c r="A119" s="1"/>
      <x:c r="B119" s="1"/>
      <x:c r="C119" s="1"/>
      <x:c r="D119" s="1"/>
      <x:c r="E119" s="1"/>
      <x:c r="F119" s="1"/>
      <x:c r="G119" s="1"/>
      <x:c r="H119" s="1"/>
      <x:c r="I119" s="1"/>
      <x:c r="J119" s="1"/>
      <x:c r="K119" s="1"/>
      <x:c r="L119" s="1"/>
      <x:c r="M119" s="1"/>
      <x:c r="N119" s="1"/>
      <x:c r="O119" s="1"/>
      <x:c r="P119" s="1"/>
    </x:row>
    <x:row r="120" ht="23" customHeight="1">
      <x:c r="A120" s="1"/>
      <x:c r="B120" s="1"/>
      <x:c r="C120" s="1"/>
      <x:c r="D120" s="1"/>
      <x:c r="E120" s="1"/>
      <x:c r="F120" s="1"/>
      <x:c r="G120" s="1"/>
      <x:c r="H120" s="1"/>
      <x:c r="I120" s="1"/>
      <x:c r="J120" s="1"/>
      <x:c r="K120" s="1"/>
      <x:c r="L120" s="1"/>
      <x:c r="M120" s="1"/>
      <x:c r="N120" s="1"/>
      <x:c r="O120" s="1"/>
      <x:c r="P120" s="1"/>
    </x:row>
    <x:row r="121" ht="23" customHeight="1">
      <x:c r="A121" s="1"/>
      <x:c r="B121" s="1"/>
      <x:c r="C121" s="1"/>
      <x:c r="D121" s="1"/>
      <x:c r="E121" s="1"/>
      <x:c r="F121" s="1"/>
      <x:c r="G121" s="1"/>
      <x:c r="H121" s="1"/>
      <x:c r="I121" s="1"/>
      <x:c r="J121" s="1"/>
      <x:c r="K121" s="1"/>
      <x:c r="L121" s="1"/>
      <x:c r="M121" s="1"/>
      <x:c r="N121" s="1"/>
      <x:c r="O121" s="1"/>
      <x:c r="P121" s="1"/>
    </x:row>
    <x:row r="122" ht="23" customHeight="1">
      <x:c r="A122" s="1"/>
      <x:c r="B122" s="1"/>
      <x:c r="C122" s="1"/>
      <x:c r="D122" s="1"/>
      <x:c r="E122" s="1"/>
      <x:c r="F122" s="1"/>
      <x:c r="G122" s="1"/>
      <x:c r="H122" s="1"/>
      <x:c r="I122" s="1"/>
      <x:c r="J122" s="1"/>
      <x:c r="K122" s="1"/>
      <x:c r="L122" s="1"/>
      <x:c r="M122" s="1"/>
      <x:c r="N122" s="1"/>
      <x:c r="O122" s="1"/>
      <x:c r="P122" s="1"/>
    </x:row>
    <x:row r="123" ht="23" customHeight="1">
      <x:c r="A123" s="1"/>
      <x:c r="B123" s="1"/>
      <x:c r="C123" s="1"/>
      <x:c r="D123" s="1"/>
      <x:c r="E123" s="1"/>
      <x:c r="F123" s="1"/>
      <x:c r="G123" s="1"/>
      <x:c r="H123" s="1"/>
      <x:c r="I123" s="1"/>
      <x:c r="J123" s="1"/>
      <x:c r="K123" s="1"/>
      <x:c r="L123" s="1"/>
      <x:c r="M123" s="1"/>
      <x:c r="N123" s="1"/>
      <x:c r="O123" s="1"/>
      <x:c r="P123" s="1"/>
    </x:row>
    <x:row r="124" ht="23" customHeight="1">
      <x:c r="A124" s="1"/>
      <x:c r="B124" s="1"/>
      <x:c r="C124" s="1"/>
      <x:c r="D124" s="1"/>
      <x:c r="E124" s="1"/>
      <x:c r="F124" s="1"/>
      <x:c r="G124" s="1"/>
      <x:c r="H124" s="1"/>
      <x:c r="I124" s="1"/>
      <x:c r="J124" s="1"/>
      <x:c r="K124" s="1"/>
      <x:c r="L124" s="1"/>
      <x:c r="M124" s="1"/>
      <x:c r="N124" s="1"/>
      <x:c r="O124" s="1"/>
      <x:c r="P124" s="1"/>
    </x:row>
    <x:row r="125" ht="23" customHeight="1">
      <x:c r="A125" s="1"/>
      <x:c r="B125" s="1"/>
      <x:c r="C125" s="1"/>
      <x:c r="D125" s="1"/>
      <x:c r="E125" s="1"/>
      <x:c r="F125" s="1"/>
      <x:c r="G125" s="1"/>
      <x:c r="H125" s="1"/>
      <x:c r="I125" s="1"/>
      <x:c r="J125" s="1"/>
      <x:c r="K125" s="1"/>
      <x:c r="L125" s="1"/>
      <x:c r="M125" s="1"/>
      <x:c r="N125" s="1"/>
      <x:c r="O125" s="1"/>
      <x:c r="P125" s="1"/>
    </x:row>
    <x:row r="126" ht="23" customHeight="1">
      <x:c r="A126" s="1"/>
      <x:c r="B126" s="1"/>
      <x:c r="C126" s="1"/>
      <x:c r="D126" s="1"/>
      <x:c r="E126" s="1"/>
      <x:c r="F126" s="1"/>
      <x:c r="G126" s="1"/>
      <x:c r="H126" s="1"/>
      <x:c r="I126" s="1"/>
      <x:c r="J126" s="1"/>
      <x:c r="K126" s="1"/>
      <x:c r="L126" s="1"/>
      <x:c r="M126" s="1"/>
      <x:c r="N126" s="1"/>
      <x:c r="O126" s="1"/>
      <x:c r="P126" s="1"/>
    </x:row>
    <x:row r="127" ht="23" customHeight="1">
      <x:c r="A127" s="1"/>
      <x:c r="B127" s="1"/>
      <x:c r="C127" s="1"/>
      <x:c r="D127" s="1"/>
      <x:c r="E127" s="1"/>
      <x:c r="F127" s="1"/>
      <x:c r="G127" s="1"/>
      <x:c r="H127" s="1"/>
      <x:c r="I127" s="1"/>
      <x:c r="J127" s="1"/>
      <x:c r="K127" s="1"/>
      <x:c r="L127" s="1"/>
      <x:c r="M127" s="1"/>
      <x:c r="N127" s="1"/>
      <x:c r="O127" s="1"/>
      <x:c r="P127" s="1"/>
    </x:row>
    <x:row r="128" ht="23" customHeight="1">
      <x:c r="A128" s="1"/>
      <x:c r="B128" s="1"/>
      <x:c r="C128" s="1"/>
      <x:c r="D128" s="1"/>
      <x:c r="E128" s="1"/>
      <x:c r="F128" s="1"/>
      <x:c r="G128" s="1"/>
      <x:c r="H128" s="1"/>
      <x:c r="I128" s="1"/>
      <x:c r="J128" s="1"/>
      <x:c r="K128" s="1"/>
      <x:c r="L128" s="1"/>
      <x:c r="M128" s="1"/>
      <x:c r="N128" s="1"/>
      <x:c r="O128" s="1"/>
      <x:c r="P128" s="1"/>
    </x:row>
    <x:row r="129" ht="23" customHeight="1">
      <x:c r="A129" s="1"/>
      <x:c r="B129" s="1"/>
      <x:c r="C129" s="1"/>
      <x:c r="D129" s="1"/>
      <x:c r="E129" s="1"/>
      <x:c r="F129" s="1"/>
      <x:c r="G129" s="1"/>
      <x:c r="H129" s="1"/>
      <x:c r="I129" s="1"/>
      <x:c r="J129" s="1"/>
      <x:c r="K129" s="1"/>
      <x:c r="L129" s="1"/>
      <x:c r="M129" s="1"/>
      <x:c r="N129" s="1"/>
      <x:c r="O129" s="1"/>
      <x:c r="P129" s="1"/>
    </x:row>
    <x:row r="130" ht="23" customHeight="1">
      <x:c r="A130" s="1"/>
      <x:c r="B130" s="1"/>
      <x:c r="C130" s="1"/>
      <x:c r="D130" s="1"/>
      <x:c r="E130" s="1"/>
      <x:c r="F130" s="1"/>
      <x:c r="G130" s="1"/>
      <x:c r="H130" s="1"/>
      <x:c r="I130" s="1"/>
      <x:c r="J130" s="1"/>
      <x:c r="K130" s="1"/>
      <x:c r="L130" s="1"/>
      <x:c r="M130" s="1"/>
      <x:c r="N130" s="1"/>
      <x:c r="O130" s="1"/>
      <x:c r="P130" s="1"/>
    </x:row>
    <x:row r="131" ht="23" customHeight="1">
      <x:c r="A131" s="1"/>
      <x:c r="B131" s="1"/>
      <x:c r="C131" s="1"/>
      <x:c r="D131" s="1"/>
      <x:c r="E131" s="1"/>
      <x:c r="F131" s="1"/>
      <x:c r="G131" s="1"/>
      <x:c r="H131" s="1"/>
      <x:c r="I131" s="1"/>
      <x:c r="J131" s="1"/>
      <x:c r="K131" s="1"/>
      <x:c r="L131" s="1"/>
      <x:c r="M131" s="1"/>
      <x:c r="N131" s="1"/>
      <x:c r="O131" s="1"/>
      <x:c r="P131" s="1"/>
    </x:row>
    <x:row r="132" ht="23" customHeight="1">
      <x:c r="A132" s="1"/>
      <x:c r="B132" s="1"/>
      <x:c r="C132" s="1"/>
      <x:c r="D132" s="1"/>
      <x:c r="E132" s="1"/>
      <x:c r="F132" s="1"/>
      <x:c r="G132" s="1"/>
      <x:c r="H132" s="1"/>
      <x:c r="I132" s="1"/>
      <x:c r="J132" s="1"/>
      <x:c r="K132" s="1"/>
      <x:c r="L132" s="1"/>
      <x:c r="M132" s="1"/>
      <x:c r="N132" s="1"/>
      <x:c r="O132" s="1"/>
      <x:c r="P132" s="1"/>
    </x:row>
    <x:row r="133" ht="23" customHeight="1">
      <x:c r="A133" s="1"/>
      <x:c r="B133" s="1"/>
      <x:c r="C133" s="1"/>
      <x:c r="D133" s="1"/>
      <x:c r="E133" s="1"/>
      <x:c r="F133" s="1"/>
      <x:c r="G133" s="1"/>
      <x:c r="H133" s="1"/>
      <x:c r="I133" s="1"/>
      <x:c r="J133" s="1"/>
      <x:c r="K133" s="1"/>
      <x:c r="L133" s="1"/>
      <x:c r="M133" s="1"/>
      <x:c r="N133" s="1"/>
      <x:c r="O133" s="1"/>
      <x:c r="P133" s="1"/>
    </x:row>
    <x:row r="134" ht="23" customHeight="1">
      <x:c r="A134" s="1"/>
      <x:c r="B134" s="1"/>
      <x:c r="C134" s="1"/>
      <x:c r="D134" s="1"/>
      <x:c r="E134" s="1"/>
      <x:c r="F134" s="1"/>
      <x:c r="G134" s="1"/>
      <x:c r="H134" s="1"/>
      <x:c r="I134" s="1"/>
      <x:c r="J134" s="1"/>
      <x:c r="K134" s="1"/>
      <x:c r="L134" s="1"/>
      <x:c r="M134" s="1"/>
      <x:c r="N134" s="1"/>
      <x:c r="O134" s="1"/>
      <x:c r="P134" s="1"/>
    </x:row>
    <x:row r="135" ht="23" customHeight="1">
      <x:c r="A135" s="1"/>
      <x:c r="B135" s="1"/>
      <x:c r="C135" s="1"/>
      <x:c r="D135" s="1"/>
      <x:c r="E135" s="1"/>
      <x:c r="F135" s="1"/>
      <x:c r="G135" s="1"/>
      <x:c r="H135" s="1"/>
      <x:c r="I135" s="1"/>
      <x:c r="J135" s="1"/>
      <x:c r="K135" s="1"/>
      <x:c r="L135" s="1"/>
      <x:c r="M135" s="1"/>
      <x:c r="N135" s="1"/>
      <x:c r="O135" s="1"/>
      <x:c r="P135" s="1"/>
    </x:row>
    <x:row r="136" ht="23" customHeight="1">
      <x:c r="A136" s="1"/>
      <x:c r="B136" s="1"/>
      <x:c r="C136" s="1"/>
      <x:c r="D136" s="1"/>
      <x:c r="E136" s="1"/>
      <x:c r="F136" s="1"/>
      <x:c r="G136" s="1"/>
      <x:c r="H136" s="1"/>
      <x:c r="I136" s="1"/>
      <x:c r="J136" s="1"/>
      <x:c r="K136" s="1"/>
      <x:c r="L136" s="1"/>
      <x:c r="M136" s="1"/>
      <x:c r="N136" s="1"/>
      <x:c r="O136" s="1"/>
      <x:c r="P136" s="1"/>
    </x:row>
    <x:row r="137" ht="23" customHeight="1">
      <x:c r="A137" s="1"/>
      <x:c r="B137" s="1"/>
      <x:c r="C137" s="1"/>
      <x:c r="D137" s="1"/>
      <x:c r="E137" s="1"/>
      <x:c r="F137" s="1"/>
      <x:c r="G137" s="1"/>
      <x:c r="H137" s="1"/>
      <x:c r="I137" s="1"/>
      <x:c r="J137" s="1"/>
      <x:c r="K137" s="1"/>
      <x:c r="L137" s="1"/>
      <x:c r="M137" s="1"/>
      <x:c r="N137" s="1"/>
      <x:c r="O137" s="1"/>
      <x:c r="P137" s="1"/>
    </x:row>
    <x:row r="138" ht="23" customHeight="1">
      <x:c r="A138" s="1"/>
      <x:c r="B138" s="1"/>
      <x:c r="C138" s="1"/>
      <x:c r="D138" s="1"/>
      <x:c r="E138" s="1"/>
      <x:c r="F138" s="1"/>
      <x:c r="G138" s="1"/>
      <x:c r="H138" s="1"/>
      <x:c r="I138" s="1"/>
      <x:c r="J138" s="1"/>
      <x:c r="K138" s="1"/>
      <x:c r="L138" s="1"/>
      <x:c r="M138" s="1"/>
      <x:c r="N138" s="1"/>
      <x:c r="O138" s="1"/>
      <x:c r="P138" s="1"/>
    </x:row>
    <x:row r="139" ht="23" customHeight="1">
      <x:c r="A139" s="1"/>
      <x:c r="B139" s="1"/>
      <x:c r="C139" s="1"/>
      <x:c r="D139" s="1"/>
      <x:c r="E139" s="1"/>
      <x:c r="F139" s="1"/>
      <x:c r="G139" s="1"/>
      <x:c r="H139" s="1"/>
      <x:c r="I139" s="1"/>
      <x:c r="J139" s="1"/>
      <x:c r="K139" s="1"/>
      <x:c r="L139" s="1"/>
      <x:c r="M139" s="1"/>
      <x:c r="N139" s="1"/>
      <x:c r="O139" s="1"/>
      <x:c r="P139" s="1"/>
    </x:row>
    <x:row r="140" ht="23" customHeight="1">
      <x:c r="A140" s="1"/>
      <x:c r="B140" s="1"/>
      <x:c r="C140" s="1"/>
      <x:c r="D140" s="1"/>
      <x:c r="E140" s="1"/>
      <x:c r="F140" s="1"/>
      <x:c r="G140" s="1"/>
      <x:c r="H140" s="1"/>
      <x:c r="I140" s="1"/>
      <x:c r="J140" s="1"/>
      <x:c r="K140" s="1"/>
      <x:c r="L140" s="1"/>
      <x:c r="M140" s="1"/>
      <x:c r="N140" s="1"/>
      <x:c r="O140" s="1"/>
      <x:c r="P140" s="1"/>
    </x:row>
    <x:row r="141" ht="23" customHeight="1">
      <x:c r="A141" s="1"/>
      <x:c r="B141" s="1"/>
      <x:c r="C141" s="1"/>
      <x:c r="D141" s="1"/>
      <x:c r="E141" s="1"/>
      <x:c r="F141" s="1"/>
      <x:c r="G141" s="1"/>
      <x:c r="H141" s="1"/>
      <x:c r="I141" s="1"/>
      <x:c r="J141" s="1"/>
      <x:c r="K141" s="1"/>
      <x:c r="L141" s="1"/>
      <x:c r="M141" s="1"/>
      <x:c r="N141" s="1"/>
      <x:c r="O141" s="1"/>
      <x:c r="P141" s="1"/>
    </x:row>
    <x:row r="142" ht="23" customHeight="1">
      <x:c r="A142" s="1"/>
      <x:c r="B142" s="1"/>
      <x:c r="C142" s="1"/>
      <x:c r="D142" s="1"/>
      <x:c r="E142" s="1"/>
      <x:c r="F142" s="1"/>
      <x:c r="G142" s="1"/>
      <x:c r="H142" s="1"/>
      <x:c r="I142" s="1"/>
      <x:c r="J142" s="1"/>
      <x:c r="K142" s="1"/>
      <x:c r="L142" s="1"/>
      <x:c r="M142" s="1"/>
      <x:c r="N142" s="1"/>
      <x:c r="O142" s="1"/>
      <x:c r="P142" s="1"/>
    </x:row>
    <x:row r="143" ht="23" customHeight="1">
      <x:c r="A143" s="1"/>
      <x:c r="B143" s="1"/>
      <x:c r="C143" s="1"/>
      <x:c r="D143" s="1"/>
      <x:c r="E143" s="1"/>
      <x:c r="F143" s="1"/>
      <x:c r="G143" s="1"/>
      <x:c r="H143" s="1"/>
      <x:c r="I143" s="1"/>
      <x:c r="J143" s="1"/>
      <x:c r="K143" s="1"/>
      <x:c r="L143" s="1"/>
      <x:c r="M143" s="1"/>
      <x:c r="N143" s="1"/>
      <x:c r="O143" s="1"/>
      <x:c r="P143" s="1"/>
    </x:row>
    <x:row r="144" ht="23" customHeight="1">
      <x:c r="A144" s="1"/>
      <x:c r="B144" s="1"/>
      <x:c r="C144" s="1"/>
      <x:c r="D144" s="1"/>
      <x:c r="E144" s="1"/>
      <x:c r="F144" s="1"/>
      <x:c r="G144" s="1"/>
      <x:c r="H144" s="1"/>
      <x:c r="I144" s="1"/>
      <x:c r="J144" s="1"/>
      <x:c r="K144" s="1"/>
      <x:c r="L144" s="1"/>
      <x:c r="M144" s="1"/>
      <x:c r="N144" s="1"/>
      <x:c r="O144" s="1"/>
      <x:c r="P144" s="1"/>
    </x:row>
    <x:row r="145" ht="23" customHeight="1">
      <x:c r="A145" s="1"/>
      <x:c r="B145" s="1"/>
      <x:c r="C145" s="1"/>
      <x:c r="D145" s="1"/>
      <x:c r="E145" s="1"/>
      <x:c r="F145" s="1"/>
      <x:c r="G145" s="1"/>
      <x:c r="H145" s="1"/>
      <x:c r="I145" s="1"/>
      <x:c r="J145" s="1"/>
      <x:c r="K145" s="1"/>
      <x:c r="L145" s="1"/>
      <x:c r="M145" s="1"/>
      <x:c r="N145" s="1"/>
      <x:c r="O145" s="1"/>
      <x:c r="P145" s="1"/>
    </x:row>
    <x:row r="146" ht="23" customHeight="1">
      <x:c r="A146" s="1"/>
      <x:c r="B146" s="1"/>
      <x:c r="C146" s="1"/>
      <x:c r="D146" s="1"/>
      <x:c r="E146" s="1"/>
      <x:c r="F146" s="1"/>
      <x:c r="G146" s="1"/>
      <x:c r="H146" s="1"/>
      <x:c r="I146" s="1"/>
      <x:c r="J146" s="1"/>
      <x:c r="K146" s="1"/>
      <x:c r="L146" s="1"/>
      <x:c r="M146" s="1"/>
      <x:c r="N146" s="1"/>
      <x:c r="O146" s="1"/>
      <x:c r="P146" s="1"/>
    </x:row>
    <x:row r="147" ht="23" customHeight="1">
      <x:c r="A147" s="1"/>
      <x:c r="B147" s="1"/>
      <x:c r="C147" s="1"/>
      <x:c r="D147" s="1"/>
      <x:c r="E147" s="1"/>
      <x:c r="F147" s="1"/>
      <x:c r="G147" s="1"/>
      <x:c r="H147" s="1"/>
      <x:c r="I147" s="1"/>
      <x:c r="J147" s="1"/>
      <x:c r="K147" s="1"/>
      <x:c r="L147" s="1"/>
      <x:c r="M147" s="1"/>
      <x:c r="N147" s="1"/>
      <x:c r="O147" s="1"/>
      <x:c r="P147" s="1"/>
    </x:row>
    <x:row r="148" ht="23" customHeight="1">
      <x:c r="A148" s="1"/>
      <x:c r="B148" s="1"/>
      <x:c r="C148" s="1"/>
      <x:c r="D148" s="1"/>
      <x:c r="E148" s="1"/>
      <x:c r="F148" s="1"/>
      <x:c r="G148" s="1"/>
      <x:c r="H148" s="1"/>
      <x:c r="I148" s="1"/>
      <x:c r="J148" s="1"/>
      <x:c r="K148" s="1"/>
      <x:c r="L148" s="1"/>
      <x:c r="M148" s="1"/>
      <x:c r="N148" s="1"/>
      <x:c r="O148" s="1"/>
      <x:c r="P148" s="1"/>
    </x:row>
    <x:row r="149" ht="23" customHeight="1">
      <x:c r="A149" s="1"/>
      <x:c r="B149" s="1"/>
      <x:c r="C149" s="1"/>
      <x:c r="D149" s="1"/>
      <x:c r="E149" s="1"/>
      <x:c r="F149" s="1"/>
      <x:c r="G149" s="1"/>
      <x:c r="H149" s="1"/>
      <x:c r="I149" s="1"/>
      <x:c r="J149" s="1"/>
      <x:c r="K149" s="1"/>
      <x:c r="L149" s="1"/>
      <x:c r="M149" s="1"/>
      <x:c r="N149" s="1"/>
      <x:c r="O149" s="1"/>
      <x:c r="P149" s="1"/>
    </x:row>
    <x:row r="150" ht="23" customHeight="1">
      <x:c r="A150" s="1"/>
      <x:c r="B150" s="1"/>
      <x:c r="C150" s="1"/>
      <x:c r="D150" s="1"/>
      <x:c r="E150" s="1"/>
      <x:c r="F150" s="1"/>
      <x:c r="G150" s="1"/>
      <x:c r="H150" s="1"/>
      <x:c r="I150" s="1"/>
      <x:c r="J150" s="1"/>
      <x:c r="K150" s="1"/>
      <x:c r="L150" s="1"/>
      <x:c r="M150" s="1"/>
      <x:c r="N150" s="1"/>
      <x:c r="O150" s="1"/>
      <x:c r="P150" s="1"/>
    </x:row>
    <x:row r="151" ht="23" customHeight="1">
      <x:c r="A151" s="1"/>
      <x:c r="B151" s="1"/>
      <x:c r="C151" s="1"/>
      <x:c r="D151" s="1"/>
      <x:c r="E151" s="1"/>
      <x:c r="F151" s="1"/>
      <x:c r="G151" s="1"/>
      <x:c r="H151" s="1"/>
      <x:c r="I151" s="1"/>
      <x:c r="J151" s="1"/>
      <x:c r="K151" s="1"/>
      <x:c r="L151" s="1"/>
      <x:c r="M151" s="1"/>
      <x:c r="N151" s="1"/>
      <x:c r="O151" s="1"/>
      <x:c r="P151" s="1"/>
    </x:row>
    <x:row r="152" ht="23" customHeight="1">
      <x:c r="A152" s="1"/>
      <x:c r="B152" s="1"/>
      <x:c r="C152" s="1"/>
      <x:c r="D152" s="1"/>
      <x:c r="E152" s="1"/>
      <x:c r="F152" s="1"/>
      <x:c r="G152" s="1"/>
      <x:c r="H152" s="1"/>
      <x:c r="I152" s="1"/>
      <x:c r="J152" s="1"/>
      <x:c r="K152" s="1"/>
      <x:c r="L152" s="1"/>
      <x:c r="M152" s="1"/>
      <x:c r="N152" s="1"/>
      <x:c r="O152" s="1"/>
      <x:c r="P152" s="1"/>
    </x:row>
    <x:row r="153" ht="23" customHeight="1">
      <x:c r="A153" s="1"/>
      <x:c r="B153" s="1"/>
      <x:c r="C153" s="1"/>
      <x:c r="D153" s="1"/>
      <x:c r="E153" s="1"/>
      <x:c r="F153" s="1"/>
      <x:c r="G153" s="1"/>
      <x:c r="H153" s="1"/>
      <x:c r="I153" s="1"/>
      <x:c r="J153" s="1"/>
      <x:c r="K153" s="1"/>
      <x:c r="L153" s="1"/>
      <x:c r="M153" s="1"/>
      <x:c r="N153" s="1"/>
      <x:c r="O153" s="1"/>
      <x:c r="P153" s="1"/>
    </x:row>
    <x:row r="154" ht="23" customHeight="1">
      <x:c r="A154" s="1"/>
      <x:c r="B154" s="1"/>
      <x:c r="C154" s="1"/>
      <x:c r="D154" s="1"/>
      <x:c r="E154" s="1"/>
      <x:c r="F154" s="1"/>
      <x:c r="G154" s="1"/>
      <x:c r="H154" s="1"/>
      <x:c r="I154" s="1"/>
      <x:c r="J154" s="1"/>
      <x:c r="K154" s="1"/>
      <x:c r="L154" s="1"/>
      <x:c r="M154" s="1"/>
      <x:c r="N154" s="1"/>
      <x:c r="O154" s="1"/>
      <x:c r="P154" s="1"/>
    </x:row>
    <x:row r="155" ht="23" customHeight="1">
      <x:c r="A155" s="1"/>
      <x:c r="B155" s="1"/>
      <x:c r="C155" s="1"/>
      <x:c r="D155" s="1"/>
      <x:c r="E155" s="1"/>
      <x:c r="F155" s="1"/>
      <x:c r="G155" s="1"/>
      <x:c r="H155" s="1"/>
      <x:c r="I155" s="1"/>
      <x:c r="J155" s="1"/>
      <x:c r="K155" s="1"/>
      <x:c r="L155" s="1"/>
      <x:c r="M155" s="1"/>
      <x:c r="N155" s="1"/>
      <x:c r="O155" s="1"/>
      <x:c r="P155" s="1"/>
    </x:row>
    <x:row r="156" ht="23" customHeight="1">
      <x:c r="A156" s="1"/>
      <x:c r="B156" s="1"/>
      <x:c r="C156" s="1"/>
      <x:c r="D156" s="1"/>
      <x:c r="E156" s="1"/>
      <x:c r="F156" s="1"/>
      <x:c r="G156" s="1"/>
      <x:c r="H156" s="1"/>
      <x:c r="I156" s="1"/>
      <x:c r="J156" s="1"/>
      <x:c r="K156" s="1"/>
      <x:c r="L156" s="1"/>
      <x:c r="M156" s="1"/>
      <x:c r="N156" s="1"/>
      <x:c r="O156" s="1"/>
      <x:c r="P156" s="1"/>
    </x:row>
    <x:row r="157" ht="23" customHeight="1">
      <x:c r="A157" s="1"/>
      <x:c r="B157" s="1"/>
      <x:c r="C157" s="1"/>
      <x:c r="D157" s="1"/>
      <x:c r="E157" s="1"/>
      <x:c r="F157" s="1"/>
      <x:c r="G157" s="1"/>
      <x:c r="H157" s="1"/>
      <x:c r="I157" s="1"/>
      <x:c r="J157" s="1"/>
      <x:c r="K157" s="1"/>
      <x:c r="L157" s="1"/>
      <x:c r="M157" s="1"/>
      <x:c r="N157" s="1"/>
      <x:c r="O157" s="1"/>
      <x:c r="P157" s="1"/>
    </x:row>
    <x:row r="158" ht="23" customHeight="1">
      <x:c r="A158" s="1"/>
      <x:c r="B158" s="1"/>
      <x:c r="C158" s="1"/>
      <x:c r="D158" s="1"/>
      <x:c r="E158" s="1"/>
      <x:c r="F158" s="1"/>
      <x:c r="G158" s="1"/>
      <x:c r="H158" s="1"/>
      <x:c r="I158" s="1"/>
      <x:c r="J158" s="1"/>
      <x:c r="K158" s="1"/>
      <x:c r="L158" s="1"/>
      <x:c r="M158" s="1"/>
      <x:c r="N158" s="1"/>
      <x:c r="O158" s="1"/>
      <x:c r="P158" s="1"/>
    </x:row>
    <x:row r="159" ht="23" customHeight="1">
      <x:c r="A159" s="1"/>
      <x:c r="B159" s="1"/>
      <x:c r="C159" s="1"/>
      <x:c r="D159" s="1"/>
      <x:c r="E159" s="1"/>
      <x:c r="F159" s="1"/>
      <x:c r="G159" s="1"/>
      <x:c r="H159" s="1"/>
      <x:c r="I159" s="1"/>
      <x:c r="J159" s="1"/>
      <x:c r="K159" s="1"/>
      <x:c r="L159" s="1"/>
      <x:c r="M159" s="1"/>
      <x:c r="N159" s="1"/>
      <x:c r="O159" s="1"/>
      <x:c r="P159" s="1"/>
    </x:row>
    <x:row r="160" ht="23" customHeight="1">
      <x:c r="A160" s="1"/>
      <x:c r="B160" s="1"/>
      <x:c r="C160" s="1"/>
      <x:c r="D160" s="1"/>
      <x:c r="E160" s="1"/>
      <x:c r="F160" s="1"/>
      <x:c r="G160" s="1"/>
      <x:c r="H160" s="1"/>
      <x:c r="I160" s="1"/>
      <x:c r="J160" s="1"/>
      <x:c r="K160" s="1"/>
      <x:c r="L160" s="1"/>
      <x:c r="M160" s="1"/>
      <x:c r="N160" s="1"/>
      <x:c r="O160" s="1"/>
      <x:c r="P160" s="1"/>
    </x:row>
  </x:sheetData>
  <x:mergeCells>
    <x:mergeCell ref="B2:H2"/>
    <x:mergeCell ref="B3:H3"/>
  </x:mergeCells>
  <x:pageMargins left="0.7" right="0.7" top="0.75" bottom="0.75" header="0.3" footer="0.3"/>
  <x:drawing xmlns:r="http://schemas.openxmlformats.org/officeDocument/2006/relationships" r:id="Rf238921d467745ff"/>
</x:worksheet>
</file>